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01"/>
  <workbookPr/>
  <mc:AlternateContent xmlns:mc="http://schemas.openxmlformats.org/markup-compatibility/2006">
    <mc:Choice Requires="x15">
      <x15ac:absPath xmlns:x15ac="http://schemas.microsoft.com/office/spreadsheetml/2010/11/ac" url="I:\Budgets - CAP\2021 Capital Plans\1 2021 Cap Trackers\12 December - Working Copy\12 December - Final\"/>
    </mc:Choice>
  </mc:AlternateContent>
  <xr:revisionPtr revIDLastSave="0" documentId="13_ncr:1_{695AAF46-FC2E-4192-ABB6-BB4F8288F702}" xr6:coauthVersionLast="47" xr6:coauthVersionMax="47" xr10:uidLastSave="{00000000-0000-0000-0000-000000000000}"/>
  <bookViews>
    <workbookView xWindow="-109" yWindow="-109" windowWidth="26301" windowHeight="14305" xr2:uid="{00000000-000D-0000-FFFF-FFFF00000000}"/>
  </bookViews>
  <sheets>
    <sheet name="Sheet1" sheetId="1" r:id="rId1"/>
  </sheets>
  <definedNames>
    <definedName name="_xlnm.Print_Area" localSheetId="0">Sheet1!$A$1:$Q$59</definedName>
    <definedName name="_xlnm.Print_Titles" localSheetId="0">Sheet1!$1:$3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40" i="1" l="1"/>
  <c r="E40" i="1" s="1"/>
  <c r="S24" i="1"/>
  <c r="S4" i="1"/>
  <c r="D39" i="1"/>
  <c r="E39" i="1" s="1"/>
  <c r="O4" i="1" l="1"/>
  <c r="N23" i="1"/>
  <c r="M5" i="1"/>
  <c r="K24" i="1" l="1"/>
  <c r="K32" i="1"/>
  <c r="K27" i="1"/>
  <c r="J27" i="1"/>
  <c r="J28" i="1"/>
  <c r="I22" i="1"/>
  <c r="D52" i="1"/>
  <c r="E52" i="1" s="1"/>
  <c r="D53" i="1"/>
  <c r="E53" i="1" s="1"/>
  <c r="H22" i="1"/>
  <c r="F54" i="1"/>
  <c r="D54" i="1" l="1"/>
  <c r="E54" i="1" s="1"/>
  <c r="F49" i="1"/>
  <c r="F20" i="1"/>
  <c r="F51" i="1"/>
  <c r="C15" i="1"/>
  <c r="D13" i="1"/>
  <c r="E13" i="1" s="1"/>
  <c r="F15" i="1" l="1"/>
  <c r="G15" i="1"/>
  <c r="H15" i="1"/>
  <c r="I15" i="1"/>
  <c r="J15" i="1"/>
  <c r="K15" i="1"/>
  <c r="L15" i="1"/>
  <c r="M15" i="1"/>
  <c r="N15" i="1"/>
  <c r="O15" i="1"/>
  <c r="P15" i="1"/>
  <c r="Q15" i="1"/>
  <c r="D4" i="1" l="1"/>
  <c r="D5" i="1"/>
  <c r="E5" i="1" s="1"/>
  <c r="D6" i="1"/>
  <c r="E6" i="1" s="1"/>
  <c r="D8" i="1"/>
  <c r="E8" i="1" s="1"/>
  <c r="D9" i="1"/>
  <c r="E9" i="1" s="1"/>
  <c r="D10" i="1"/>
  <c r="E10" i="1" s="1"/>
  <c r="D11" i="1"/>
  <c r="E11" i="1" s="1"/>
  <c r="D12" i="1"/>
  <c r="E12" i="1" s="1"/>
  <c r="E4" i="1" l="1"/>
  <c r="D36" i="1"/>
  <c r="E36" i="1" s="1"/>
  <c r="D37" i="1"/>
  <c r="E37" i="1" s="1"/>
  <c r="D38" i="1"/>
  <c r="E38" i="1" s="1"/>
  <c r="D32" i="1" l="1"/>
  <c r="E32" i="1" s="1"/>
  <c r="D33" i="1"/>
  <c r="E33" i="1" s="1"/>
  <c r="D34" i="1"/>
  <c r="E34" i="1" s="1"/>
  <c r="D35" i="1"/>
  <c r="E35" i="1" s="1"/>
  <c r="D29" i="1" l="1"/>
  <c r="E29" i="1" s="1"/>
  <c r="D30" i="1"/>
  <c r="E30" i="1" s="1"/>
  <c r="D31" i="1"/>
  <c r="E31" i="1" s="1"/>
  <c r="D28" i="1" l="1"/>
  <c r="E28" i="1" s="1"/>
  <c r="D27" i="1"/>
  <c r="E27" i="1" s="1"/>
  <c r="D25" i="1" l="1"/>
  <c r="E25" i="1" s="1"/>
  <c r="D24" i="1" l="1"/>
  <c r="E24" i="1" s="1"/>
  <c r="D23" i="1" l="1"/>
  <c r="E23" i="1" s="1"/>
  <c r="C56" i="1" l="1"/>
  <c r="F42" i="1"/>
  <c r="H42" i="1"/>
  <c r="I42" i="1"/>
  <c r="J42" i="1"/>
  <c r="C42" i="1"/>
  <c r="D22" i="1"/>
  <c r="E22" i="1" s="1"/>
  <c r="K42" i="1"/>
  <c r="L42" i="1"/>
  <c r="M42" i="1"/>
  <c r="N42" i="1"/>
  <c r="O42" i="1"/>
  <c r="P42" i="1"/>
  <c r="D20" i="1"/>
  <c r="E20" i="1" s="1"/>
  <c r="D21" i="1"/>
  <c r="E21" i="1" s="1"/>
  <c r="C44" i="1" l="1"/>
  <c r="C58" i="1" s="1"/>
  <c r="N44" i="1"/>
  <c r="Q56" i="1" l="1"/>
  <c r="P56" i="1"/>
  <c r="P44" i="1"/>
  <c r="O56" i="1"/>
  <c r="O44" i="1"/>
  <c r="N56" i="1"/>
  <c r="N58" i="1" s="1"/>
  <c r="M56" i="1"/>
  <c r="M44" i="1"/>
  <c r="L44" i="1"/>
  <c r="L56" i="1"/>
  <c r="K44" i="1"/>
  <c r="K56" i="1"/>
  <c r="J56" i="1"/>
  <c r="J44" i="1"/>
  <c r="I56" i="1"/>
  <c r="I44" i="1"/>
  <c r="H56" i="1"/>
  <c r="H44" i="1"/>
  <c r="G56" i="1"/>
  <c r="F56" i="1"/>
  <c r="F44" i="1"/>
  <c r="D19" i="1"/>
  <c r="E19" i="1" s="1"/>
  <c r="D7" i="1"/>
  <c r="D49" i="1"/>
  <c r="D50" i="1"/>
  <c r="E50" i="1" s="1"/>
  <c r="D51" i="1"/>
  <c r="E51" i="1" s="1"/>
  <c r="D15" i="1" l="1"/>
  <c r="E7" i="1"/>
  <c r="E15" i="1" s="1"/>
  <c r="O58" i="1"/>
  <c r="H58" i="1"/>
  <c r="F58" i="1"/>
  <c r="P58" i="1"/>
  <c r="J58" i="1"/>
  <c r="I58" i="1"/>
  <c r="M58" i="1"/>
  <c r="L58" i="1"/>
  <c r="K58" i="1"/>
  <c r="E49" i="1"/>
  <c r="E56" i="1" s="1"/>
  <c r="D56" i="1"/>
  <c r="D46" i="1"/>
  <c r="Q42" i="1"/>
  <c r="Q44" i="1" s="1"/>
  <c r="Q58" i="1" s="1"/>
  <c r="E46" i="1" l="1"/>
  <c r="D18" i="1"/>
  <c r="E18" i="1" l="1"/>
  <c r="D26" i="1"/>
  <c r="E26" i="1" s="1"/>
  <c r="G42" i="1"/>
  <c r="G44" i="1" s="1"/>
  <c r="G58" i="1" s="1"/>
  <c r="E42" i="1" l="1"/>
  <c r="E44" i="1" s="1"/>
  <c r="E58" i="1" s="1"/>
  <c r="D42" i="1"/>
  <c r="D44" i="1" s="1"/>
  <c r="D58" i="1" s="1"/>
</calcChain>
</file>

<file path=xl/sharedStrings.xml><?xml version="1.0" encoding="utf-8"?>
<sst xmlns="http://schemas.openxmlformats.org/spreadsheetml/2006/main" count="108" uniqueCount="83">
  <si>
    <t>Budget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</si>
  <si>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</si>
  <si>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</si>
  <si>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</si>
  <si>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</si>
  <si>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</si>
  <si>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</si>
  <si>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</si>
  <si>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</si>
  <si>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</si>
  <si>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</si>
  <si>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</si>
  <si>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</si>
  <si>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 Cap Ex</t>
  </si>
  <si>
    <t>CAP NON EXPENSES</t>
  </si>
  <si>
    <t>1% CAP NON BUDGET</t>
  </si>
  <si>
    <t>Total Cap NON</t>
  </si>
  <si>
    <t>TOTAL CAPITAL</t>
  </si>
  <si>
    <t>Total</t>
  </si>
  <si>
    <t>Actual</t>
  </si>
  <si>
    <t>Variance</t>
  </si>
  <si>
    <t>PO</t>
  </si>
  <si>
    <t>Prior Year</t>
  </si>
  <si>
    <t>Total Prior Year</t>
  </si>
  <si>
    <t>PIP Renovation</t>
  </si>
  <si>
    <t>Total Cap and Cap NON</t>
  </si>
  <si>
    <t>Capital Spending Tracking 2021</t>
  </si>
  <si>
    <t>2021</t>
  </si>
  <si>
    <t>Wood Dale Courtyard #414</t>
  </si>
  <si>
    <t>C4 Lamp Shade - average</t>
  </si>
  <si>
    <t>C5 TV- 55" Flat Screen</t>
  </si>
  <si>
    <t>C6 Power Pad</t>
  </si>
  <si>
    <t>C7 PTAC room unit</t>
  </si>
  <si>
    <t>325 @ $38</t>
  </si>
  <si>
    <t>10 @ $550</t>
  </si>
  <si>
    <t>147 @ $40</t>
  </si>
  <si>
    <t>10 @ $545</t>
  </si>
  <si>
    <t>75 @ $280</t>
  </si>
  <si>
    <t>10 @ $600</t>
  </si>
  <si>
    <t>C8 Backlit Mirror</t>
  </si>
  <si>
    <t>C9 Banquet tables-Rounds Linenless</t>
  </si>
  <si>
    <t>C10 Bistro Liquor Cabinet Doors</t>
  </si>
  <si>
    <t>C11 Parking Lot Lights</t>
  </si>
  <si>
    <t>C12 Coin-Op Washer</t>
  </si>
  <si>
    <t>C13 Double Door Freezer</t>
  </si>
  <si>
    <t>N25 Curb/Runoff Engineering</t>
  </si>
  <si>
    <t>N27 Fire System Valve</t>
  </si>
  <si>
    <t>N29 Boiler #1 and 2 Repairs</t>
  </si>
  <si>
    <t>N24 Parking Lot Signage (2019)</t>
  </si>
  <si>
    <t>52611, 52612</t>
  </si>
  <si>
    <t>N19 Pool Exchange Heater</t>
  </si>
  <si>
    <t>N20 Market Refrigerator/Freezer</t>
  </si>
  <si>
    <t>Renovation Runoff</t>
  </si>
  <si>
    <t>N21 Replace Heat Exchanger</t>
  </si>
  <si>
    <t>53207, 53279, 53285</t>
  </si>
  <si>
    <t>N22 Fill in Spa</t>
  </si>
  <si>
    <t>N23 Dehumidifiers (2019)</t>
  </si>
  <si>
    <t>N23 Lobby Repairs - ceilings</t>
  </si>
  <si>
    <t>N24 Corridor Flooring</t>
  </si>
  <si>
    <t>N25 Fill Parking Lot Pot Holes</t>
  </si>
  <si>
    <t>N26 Hotel Photo Shoot</t>
  </si>
  <si>
    <t>N27 Housekeeping Program</t>
  </si>
  <si>
    <t>53668, 53669, 53672, 53674</t>
  </si>
  <si>
    <t>N28 Linen Carts</t>
  </si>
  <si>
    <t>N29 Gas Leak Repairs</t>
  </si>
  <si>
    <t>N30 Replace Interveter Unit in Laundry</t>
  </si>
  <si>
    <t>53814, 54056</t>
  </si>
  <si>
    <t>53505, 53558, 54128, 54169</t>
  </si>
  <si>
    <t>N31 Directional Signage - Interior</t>
  </si>
  <si>
    <t>N32 Water Filtration Cartridges</t>
  </si>
  <si>
    <t>N33 Dryer #2 Repairs</t>
  </si>
  <si>
    <t>53367, 54827</t>
  </si>
  <si>
    <t>N34 Guestroom Desk Chairs</t>
  </si>
  <si>
    <t>N35 Landscaping Upgrades</t>
  </si>
  <si>
    <t>PO51754, parking lot repairs</t>
  </si>
  <si>
    <t>N36 Van Repairs</t>
  </si>
  <si>
    <t>N37 Plumbing Repairs</t>
  </si>
  <si>
    <t>N38 Boiler #1 Repairs</t>
  </si>
  <si>
    <t>N39 Amenity Brackets</t>
  </si>
  <si>
    <t>55451, 55794, 55295</t>
  </si>
  <si>
    <t>53384, 53867, 55295, 55588, 56042, 55451</t>
  </si>
  <si>
    <t>56222 56634</t>
  </si>
  <si>
    <t>N40 Main Entrance Repairs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</si>
</sst>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&quot;R&quot;\ #,##0.00;&quot;R&quot;\ \-#,##0.00"/>
  </numFmts>
  <fonts count="13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Courier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0"/>
      <name val="Courier"/>
      <family val="3"/>
    </font>
    <font>
      <sz val="8"/>
      <color theme="1"/>
      <name val="Calibri"/>
      <family val="2"/>
      <scheme val="minor"/>
    </font>
    <font>
      <b/>
      <sz val="1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44" fontId="2" fillId="0" borderId="0" applyFont="0" applyFill="0" applyBorder="0" applyAlignment="0" applyProtection="0"/>
    <xf numFmtId="0" fontId="6" fillId="0" borderId="0"/>
    <xf numFmtId="38" fontId="8" fillId="5" borderId="0" applyNumberFormat="0" applyBorder="0" applyAlignment="0" applyProtection="0"/>
    <xf numFmtId="0" fontId="9" fillId="0" borderId="3" applyNumberFormat="0" applyAlignment="0" applyProtection="0">
      <alignment horizontal="left" vertical="center"/>
    </xf>
    <xf numFmtId="0" fontId="9" fillId="0" borderId="4">
      <alignment horizontal="left" vertical="center"/>
    </xf>
    <xf numFmtId="10" fontId="8" fillId="6" borderId="1" applyNumberFormat="0" applyBorder="0" applyAlignment="0" applyProtection="0"/>
    <xf numFmtId="165" fontId="7" fillId="0" borderId="0"/>
    <xf numFmtId="10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6" fillId="0" borderId="0"/>
    <xf numFmtId="0" fontId="6" fillId="0" borderId="0"/>
  </cellStyleXfs>
  <cellXfs count="41">
    <xf numFmtId="0" fontId="0" fillId="0" borderId="0" xfId="0"/>
    <xf numFmtId="164" fontId="4" fillId="0" borderId="1" xfId="1" applyNumberFormat="1" applyFont="1" applyBorder="1"/>
    <xf numFmtId="164" fontId="3" fillId="4" borderId="1" xfId="1" applyNumberFormat="1" applyFont="1" applyFill="1" applyBorder="1"/>
    <xf numFmtId="164" fontId="3" fillId="3" borderId="1" xfId="1" applyNumberFormat="1" applyFont="1" applyFill="1" applyBorder="1"/>
    <xf numFmtId="164" fontId="5" fillId="0" borderId="1" xfId="1" applyNumberFormat="1" applyFont="1" applyBorder="1"/>
    <xf numFmtId="164" fontId="1" fillId="2" borderId="0" xfId="1" applyNumberFormat="1" applyFont="1" applyFill="1"/>
    <xf numFmtId="164" fontId="0" fillId="2" borderId="0" xfId="1" applyNumberFormat="1" applyFont="1" applyFill="1"/>
    <xf numFmtId="164" fontId="3" fillId="2" borderId="0" xfId="1" applyNumberFormat="1" applyFont="1" applyFill="1" applyAlignment="1">
      <alignment horizontal="center"/>
    </xf>
    <xf numFmtId="164" fontId="3" fillId="2" borderId="0" xfId="1" quotePrefix="1" applyNumberFormat="1" applyFont="1" applyFill="1" applyAlignment="1">
      <alignment horizontal="center"/>
    </xf>
    <xf numFmtId="164" fontId="1" fillId="2" borderId="0" xfId="1" applyNumberFormat="1" applyFont="1" applyFill="1" applyAlignment="1">
      <alignment horizontal="left"/>
    </xf>
    <xf numFmtId="164" fontId="1" fillId="2" borderId="0" xfId="1" applyNumberFormat="1" applyFont="1" applyFill="1" applyAlignment="1">
      <alignment horizontal="center"/>
    </xf>
    <xf numFmtId="164" fontId="0" fillId="2" borderId="2" xfId="1" applyNumberFormat="1" applyFont="1" applyFill="1" applyBorder="1"/>
    <xf numFmtId="164" fontId="3" fillId="2" borderId="2" xfId="1" applyNumberFormat="1" applyFont="1" applyFill="1" applyBorder="1" applyAlignment="1">
      <alignment horizontal="center"/>
    </xf>
    <xf numFmtId="164" fontId="0" fillId="0" borderId="1" xfId="1" applyNumberFormat="1" applyFont="1" applyBorder="1"/>
    <xf numFmtId="164" fontId="0" fillId="4" borderId="1" xfId="1" applyNumberFormat="1" applyFont="1" applyFill="1" applyBorder="1"/>
    <xf numFmtId="164" fontId="0" fillId="0" borderId="0" xfId="1" applyNumberFormat="1" applyFont="1"/>
    <xf numFmtId="164" fontId="1" fillId="0" borderId="1" xfId="1" applyNumberFormat="1" applyFont="1" applyBorder="1"/>
    <xf numFmtId="164" fontId="0" fillId="0" borderId="1" xfId="1" applyNumberFormat="1" applyFont="1" applyBorder="1" applyAlignment="1">
      <alignment horizontal="center"/>
    </xf>
    <xf numFmtId="164" fontId="0" fillId="3" borderId="1" xfId="1" applyNumberFormat="1" applyFont="1" applyFill="1" applyBorder="1"/>
    <xf numFmtId="0" fontId="0" fillId="2" borderId="0" xfId="1" applyNumberFormat="1" applyFont="1" applyFill="1"/>
    <xf numFmtId="0" fontId="0" fillId="2" borderId="1" xfId="1" applyNumberFormat="1" applyFont="1" applyFill="1" applyBorder="1"/>
    <xf numFmtId="0" fontId="3" fillId="2" borderId="0" xfId="1" applyNumberFormat="1" applyFont="1" applyFill="1" applyAlignment="1">
      <alignment horizontal="center"/>
    </xf>
    <xf numFmtId="164" fontId="3" fillId="7" borderId="1" xfId="1" applyNumberFormat="1" applyFont="1" applyFill="1" applyBorder="1"/>
    <xf numFmtId="164" fontId="0" fillId="7" borderId="1" xfId="1" applyNumberFormat="1" applyFont="1" applyFill="1" applyBorder="1"/>
    <xf numFmtId="0" fontId="0" fillId="7" borderId="0" xfId="1" applyNumberFormat="1" applyFont="1" applyFill="1"/>
    <xf numFmtId="164" fontId="0" fillId="7" borderId="0" xfId="1" applyNumberFormat="1" applyFont="1" applyFill="1"/>
    <xf numFmtId="164" fontId="0" fillId="2" borderId="1" xfId="1" applyNumberFormat="1" applyFont="1" applyFill="1" applyBorder="1" applyAlignment="1">
      <alignment wrapText="1"/>
    </xf>
    <xf numFmtId="164" fontId="3" fillId="4" borderId="1" xfId="1" applyNumberFormat="1" applyFont="1" applyFill="1" applyBorder="1" applyAlignment="1">
      <alignment wrapText="1"/>
    </xf>
    <xf numFmtId="164" fontId="3" fillId="0" borderId="1" xfId="1" applyNumberFormat="1" applyFont="1" applyBorder="1"/>
    <xf numFmtId="0" fontId="0" fillId="0" borderId="0" xfId="1" applyNumberFormat="1" applyFont="1"/>
    <xf numFmtId="164" fontId="4" fillId="2" borderId="2" xfId="1" applyNumberFormat="1" applyFont="1" applyFill="1" applyBorder="1" applyAlignment="1">
      <alignment horizontal="center"/>
    </xf>
    <xf numFmtId="164" fontId="4" fillId="4" borderId="1" xfId="1" applyNumberFormat="1" applyFont="1" applyFill="1" applyBorder="1"/>
    <xf numFmtId="164" fontId="5" fillId="0" borderId="0" xfId="1" applyNumberFormat="1" applyFont="1"/>
    <xf numFmtId="164" fontId="4" fillId="7" borderId="1" xfId="1" applyNumberFormat="1" applyFont="1" applyFill="1" applyBorder="1"/>
    <xf numFmtId="164" fontId="5" fillId="2" borderId="0" xfId="1" applyNumberFormat="1" applyFont="1" applyFill="1"/>
    <xf numFmtId="164" fontId="4" fillId="3" borderId="1" xfId="1" applyNumberFormat="1" applyFont="1" applyFill="1" applyBorder="1"/>
    <xf numFmtId="164" fontId="11" fillId="4" borderId="1" xfId="1" applyNumberFormat="1" applyFont="1" applyFill="1" applyBorder="1" applyAlignment="1">
      <alignment wrapText="1"/>
    </xf>
    <xf numFmtId="164" fontId="5" fillId="7" borderId="1" xfId="1" applyNumberFormat="1" applyFont="1" applyFill="1" applyBorder="1"/>
    <xf numFmtId="164" fontId="4" fillId="2" borderId="0" xfId="1" quotePrefix="1" applyNumberFormat="1" applyFont="1" applyFill="1" applyAlignment="1">
      <alignment horizontal="center"/>
    </xf>
    <xf numFmtId="164" fontId="12" fillId="2" borderId="0" xfId="1" applyNumberFormat="1" applyFont="1" applyFill="1" applyAlignment="1">
      <alignment horizontal="center"/>
    </xf>
    <xf numFmtId="0" fontId="0" fillId="2" borderId="0" xfId="1" applyNumberFormat="1" applyFont="1" applyFill="1" applyBorder="1"/>
  </cellXfs>
  <cellStyles count="12">
    <cellStyle name="Comma 2" xfId="9" xr:uid="{00000000-0005-0000-0000-000000000000}"/>
    <cellStyle name="Currency" xfId="1" builtinId="4"/>
    <cellStyle name="Grey" xfId="3" xr:uid="{00000000-0005-0000-0000-000002000000}"/>
    <cellStyle name="Header1" xfId="4" xr:uid="{00000000-0005-0000-0000-000003000000}"/>
    <cellStyle name="Header2" xfId="5" xr:uid="{00000000-0005-0000-0000-000004000000}"/>
    <cellStyle name="Input [yellow]" xfId="6" xr:uid="{00000000-0005-0000-0000-000005000000}"/>
    <cellStyle name="Normal" xfId="0" builtinId="0"/>
    <cellStyle name="Normal - Style1" xfId="7" xr:uid="{00000000-0005-0000-0000-000007000000}"/>
    <cellStyle name="Normal 2" xfId="2" xr:uid="{00000000-0005-0000-0000-000008000000}"/>
    <cellStyle name="Normal 3" xfId="10" xr:uid="{00000000-0005-0000-0000-000009000000}"/>
    <cellStyle name="Normal 4" xfId="11" xr:uid="{00000000-0005-0000-0000-00000A000000}"/>
    <cellStyle name="Percent [2]" xfId="8" xr:uid="{00000000-0005-0000-0000-00000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59"/>
  <sheetViews>
    <sheetView tabSelected="1" zoomScaleNormal="100" workbookViewId="0">
      <pane xSplit="5" ySplit="3" topLeftCell="F7" activePane="bottomRight" state="frozen"/>
      <selection pane="topRight" activeCell="F1" sqref="F1"/>
      <selection pane="bottomLeft" activeCell="A4" sqref="A4"/>
      <selection pane="bottomRight" activeCell="J22" sqref="J22"/>
    </sheetView>
  </sheetViews>
  <sheetFormatPr defaultColWidth="9.125" defaultRowHeight="14.3" x14ac:dyDescent="0.25"/>
  <cols>
    <col min="1" max="1" width="36.25" style="6" customWidth="1"/>
    <col min="2" max="2" width="15" style="6" hidden="1" customWidth="1"/>
    <col min="3" max="4" width="13.125" style="6" customWidth="1"/>
    <col min="5" max="5" width="11.375" style="6" customWidth="1"/>
    <col min="6" max="14" width="10.375" style="34" customWidth="1"/>
    <col min="15" max="15" width="11.875" style="34" customWidth="1"/>
    <col min="16" max="16" width="10.375" style="34" customWidth="1"/>
    <col min="17" max="17" width="12.375" style="6" customWidth="1"/>
    <col min="18" max="18" width="13" style="19" hidden="1" customWidth="1"/>
    <col min="19" max="19" width="11.875" style="6" hidden="1" customWidth="1"/>
    <col min="20" max="16384" width="9.125" style="6"/>
  </cols>
  <sheetData>
    <row r="1" spans="1:19" x14ac:dyDescent="0.25">
      <c r="A1" s="5" t="s">
        <v>28</v>
      </c>
      <c r="C1" s="7" t="s">
        <v>18</v>
      </c>
      <c r="D1" s="7"/>
      <c r="E1" s="7"/>
      <c r="F1" s="38" t="s">
        <v>27</v>
      </c>
      <c r="G1" s="8" t="s">
        <v>27</v>
      </c>
      <c r="H1" s="38" t="s">
        <v>27</v>
      </c>
      <c r="I1" s="38" t="s">
        <v>27</v>
      </c>
      <c r="J1" s="38" t="s">
        <v>27</v>
      </c>
      <c r="K1" s="38" t="s">
        <v>27</v>
      </c>
      <c r="L1" s="38" t="s">
        <v>27</v>
      </c>
      <c r="M1" s="38" t="s">
        <v>27</v>
      </c>
      <c r="N1" s="38" t="s">
        <v>27</v>
      </c>
      <c r="O1" s="38" t="s">
        <v>27</v>
      </c>
      <c r="P1" s="38" t="s">
        <v>27</v>
      </c>
      <c r="Q1" s="8" t="s">
        <v>27</v>
      </c>
    </row>
    <row r="2" spans="1:19" x14ac:dyDescent="0.25">
      <c r="A2" s="9" t="s">
        <v>26</v>
      </c>
      <c r="B2" s="5"/>
      <c r="C2" s="8" t="s">
        <v>27</v>
      </c>
      <c r="D2" s="8" t="s">
        <v>18</v>
      </c>
      <c r="E2" s="10"/>
      <c r="F2" s="39" t="s">
        <v>19</v>
      </c>
      <c r="G2" s="39" t="s">
        <v>19</v>
      </c>
      <c r="H2" s="39" t="s">
        <v>19</v>
      </c>
      <c r="I2" s="39" t="s">
        <v>19</v>
      </c>
      <c r="J2" s="39" t="s">
        <v>19</v>
      </c>
      <c r="K2" s="39" t="s">
        <v>19</v>
      </c>
      <c r="L2" s="39" t="s">
        <v>19</v>
      </c>
      <c r="M2" s="39" t="s">
        <v>19</v>
      </c>
      <c r="N2" s="39" t="s">
        <v>19</v>
      </c>
      <c r="O2" s="39" t="s">
        <v>19</v>
      </c>
      <c r="P2" s="39" t="s">
        <v>19</v>
      </c>
      <c r="Q2" s="10" t="s">
        <v>19</v>
      </c>
    </row>
    <row r="3" spans="1:19" x14ac:dyDescent="0.25">
      <c r="A3" s="11"/>
      <c r="B3" s="11"/>
      <c r="C3" s="12" t="s">
        <v>0</v>
      </c>
      <c r="D3" s="12" t="s">
        <v>19</v>
      </c>
      <c r="E3" s="12" t="s">
        <v>20</v>
      </c>
      <c r="F3" s="30" t="s">
        <v>1</v>
      </c>
      <c r="G3" s="30" t="s">
        <v>2</v>
      </c>
      <c r="H3" s="30" t="s">
        <v>3</v>
      </c>
      <c r="I3" s="30" t="s">
        <v>4</v>
      </c>
      <c r="J3" s="30" t="s">
        <v>5</v>
      </c>
      <c r="K3" s="30" t="s">
        <v>6</v>
      </c>
      <c r="L3" s="30" t="s">
        <v>7</v>
      </c>
      <c r="M3" s="30" t="s">
        <v>8</v>
      </c>
      <c r="N3" s="30" t="s">
        <v>9</v>
      </c>
      <c r="O3" s="30" t="s">
        <v>10</v>
      </c>
      <c r="P3" s="30" t="s">
        <v>11</v>
      </c>
      <c r="Q3" s="12" t="s">
        <v>12</v>
      </c>
      <c r="R3" s="21" t="s">
        <v>21</v>
      </c>
    </row>
    <row r="4" spans="1:19" x14ac:dyDescent="0.25">
      <c r="A4" s="13" t="s">
        <v>29</v>
      </c>
      <c r="B4" s="13" t="s">
        <v>33</v>
      </c>
      <c r="C4" s="13">
        <v>12350</v>
      </c>
      <c r="D4" s="4">
        <f t="shared" ref="D4:D6" si="0">SUM(F4:Q4)</f>
        <v>8361.27</v>
      </c>
      <c r="E4" s="4">
        <f t="shared" ref="E4:E6" si="1">C4-D4</f>
        <v>3988.7299999999996</v>
      </c>
      <c r="F4" s="4"/>
      <c r="G4" s="4"/>
      <c r="H4" s="4"/>
      <c r="I4" s="4"/>
      <c r="J4" s="4"/>
      <c r="K4" s="4"/>
      <c r="L4" s="4"/>
      <c r="M4" s="4"/>
      <c r="N4" s="4"/>
      <c r="O4" s="4">
        <f>6180+494.4</f>
        <v>6674.4</v>
      </c>
      <c r="P4" s="4"/>
      <c r="Q4" s="23">
        <v>1686.87</v>
      </c>
      <c r="R4" s="20" t="s">
        <v>79</v>
      </c>
      <c r="S4" s="13">
        <f>13536-1686.87</f>
        <v>11849.130000000001</v>
      </c>
    </row>
    <row r="5" spans="1:19" x14ac:dyDescent="0.25">
      <c r="A5" s="13" t="s">
        <v>30</v>
      </c>
      <c r="B5" s="13" t="s">
        <v>34</v>
      </c>
      <c r="C5" s="13">
        <v>5500</v>
      </c>
      <c r="D5" s="4">
        <f t="shared" si="0"/>
        <v>3507.1</v>
      </c>
      <c r="E5" s="4">
        <f t="shared" si="1"/>
        <v>1992.9</v>
      </c>
      <c r="F5" s="4"/>
      <c r="G5" s="4"/>
      <c r="H5" s="4"/>
      <c r="I5" s="4"/>
      <c r="J5" s="4"/>
      <c r="K5" s="4"/>
      <c r="L5" s="4"/>
      <c r="M5" s="4">
        <f>2761.2+220.9+525</f>
        <v>3507.1</v>
      </c>
      <c r="N5" s="4"/>
      <c r="O5" s="4"/>
      <c r="P5" s="4"/>
      <c r="Q5" s="13"/>
      <c r="R5" s="20">
        <v>54900</v>
      </c>
    </row>
    <row r="6" spans="1:19" x14ac:dyDescent="0.25">
      <c r="A6" s="13" t="s">
        <v>31</v>
      </c>
      <c r="B6" s="13" t="s">
        <v>35</v>
      </c>
      <c r="C6" s="13">
        <v>5880</v>
      </c>
      <c r="D6" s="4">
        <f t="shared" si="0"/>
        <v>0</v>
      </c>
      <c r="E6" s="4">
        <f t="shared" si="1"/>
        <v>5880</v>
      </c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13"/>
      <c r="R6" s="20"/>
      <c r="S6" s="13">
        <v>5880</v>
      </c>
    </row>
    <row r="7" spans="1:19" x14ac:dyDescent="0.25">
      <c r="A7" s="13" t="s">
        <v>32</v>
      </c>
      <c r="B7" s="13" t="s">
        <v>36</v>
      </c>
      <c r="C7" s="13">
        <v>5450</v>
      </c>
      <c r="D7" s="4">
        <f t="shared" ref="D7" si="2">SUM(F7:Q7)</f>
        <v>4877.5</v>
      </c>
      <c r="E7" s="4">
        <f t="shared" ref="E7" si="3">C7-D7</f>
        <v>572.5</v>
      </c>
      <c r="F7" s="4"/>
      <c r="G7" s="4"/>
      <c r="H7" s="4"/>
      <c r="I7" s="4"/>
      <c r="J7" s="4"/>
      <c r="K7" s="4">
        <v>160</v>
      </c>
      <c r="L7" s="4"/>
      <c r="M7" s="4">
        <v>4717.5</v>
      </c>
      <c r="N7" s="4"/>
      <c r="O7" s="4"/>
      <c r="P7" s="4"/>
      <c r="Q7" s="13"/>
      <c r="R7" s="20">
        <v>54179</v>
      </c>
    </row>
    <row r="8" spans="1:19" x14ac:dyDescent="0.25">
      <c r="A8" s="13" t="s">
        <v>39</v>
      </c>
      <c r="B8" s="13" t="s">
        <v>37</v>
      </c>
      <c r="C8" s="13">
        <v>21000</v>
      </c>
      <c r="D8" s="4">
        <f t="shared" ref="D8:D12" si="4">SUM(F8:Q8)</f>
        <v>0</v>
      </c>
      <c r="E8" s="4">
        <f t="shared" ref="E8:E12" si="5">C8-D8</f>
        <v>21000</v>
      </c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13"/>
      <c r="R8" s="20"/>
    </row>
    <row r="9" spans="1:19" x14ac:dyDescent="0.25">
      <c r="A9" s="13" t="s">
        <v>40</v>
      </c>
      <c r="B9" s="13" t="s">
        <v>38</v>
      </c>
      <c r="C9" s="13">
        <v>6000</v>
      </c>
      <c r="D9" s="4">
        <f t="shared" si="4"/>
        <v>0</v>
      </c>
      <c r="E9" s="4">
        <f t="shared" si="5"/>
        <v>6000</v>
      </c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13"/>
      <c r="R9" s="20"/>
    </row>
    <row r="10" spans="1:19" x14ac:dyDescent="0.25">
      <c r="A10" s="13" t="s">
        <v>41</v>
      </c>
      <c r="B10" s="13"/>
      <c r="C10" s="13">
        <v>1500</v>
      </c>
      <c r="D10" s="4">
        <f t="shared" si="4"/>
        <v>0</v>
      </c>
      <c r="E10" s="4">
        <f t="shared" si="5"/>
        <v>1500</v>
      </c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13"/>
      <c r="R10" s="20"/>
    </row>
    <row r="11" spans="1:19" x14ac:dyDescent="0.25">
      <c r="A11" s="13" t="s">
        <v>42</v>
      </c>
      <c r="B11" s="13"/>
      <c r="C11" s="13">
        <v>7230</v>
      </c>
      <c r="D11" s="4">
        <f t="shared" si="4"/>
        <v>11580.099999999999</v>
      </c>
      <c r="E11" s="4">
        <f t="shared" si="5"/>
        <v>-4350.0999999999985</v>
      </c>
      <c r="F11" s="4"/>
      <c r="G11" s="4"/>
      <c r="H11" s="4"/>
      <c r="I11" s="4"/>
      <c r="J11" s="4">
        <v>7430.4</v>
      </c>
      <c r="K11" s="4"/>
      <c r="L11" s="4"/>
      <c r="M11" s="4"/>
      <c r="N11" s="4">
        <v>4149.7</v>
      </c>
      <c r="O11" s="4"/>
      <c r="P11" s="4"/>
      <c r="Q11" s="13"/>
      <c r="R11" s="20" t="s">
        <v>71</v>
      </c>
    </row>
    <row r="12" spans="1:19" x14ac:dyDescent="0.25">
      <c r="A12" s="13" t="s">
        <v>43</v>
      </c>
      <c r="B12" s="13"/>
      <c r="C12" s="13">
        <v>450</v>
      </c>
      <c r="D12" s="4">
        <f t="shared" si="4"/>
        <v>2625.54</v>
      </c>
      <c r="E12" s="4">
        <f t="shared" si="5"/>
        <v>-2175.54</v>
      </c>
      <c r="F12" s="4"/>
      <c r="G12" s="4"/>
      <c r="H12" s="4"/>
      <c r="I12" s="4"/>
      <c r="J12" s="4"/>
      <c r="K12" s="4"/>
      <c r="L12" s="4"/>
      <c r="M12" s="4">
        <v>2625.54</v>
      </c>
      <c r="N12" s="4"/>
      <c r="O12" s="4"/>
      <c r="P12" s="4"/>
      <c r="Q12" s="13"/>
      <c r="R12" s="20">
        <v>53321</v>
      </c>
    </row>
    <row r="13" spans="1:19" x14ac:dyDescent="0.25">
      <c r="A13" s="13" t="s">
        <v>44</v>
      </c>
      <c r="B13" s="13"/>
      <c r="C13" s="13">
        <v>2100</v>
      </c>
      <c r="D13" s="4">
        <f t="shared" ref="D13" si="6">SUM(F13:Q13)</f>
        <v>0</v>
      </c>
      <c r="E13" s="4">
        <f t="shared" ref="E13" si="7">C13-D13</f>
        <v>2100</v>
      </c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13"/>
      <c r="R13" s="20"/>
    </row>
    <row r="14" spans="1:19" ht="14.3" customHeight="1" x14ac:dyDescent="0.25">
      <c r="A14" s="13"/>
      <c r="B14" s="13"/>
      <c r="C14" s="13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13"/>
      <c r="R14" s="20"/>
    </row>
    <row r="15" spans="1:19" x14ac:dyDescent="0.25">
      <c r="A15" s="2" t="s">
        <v>13</v>
      </c>
      <c r="B15" s="14"/>
      <c r="C15" s="2">
        <f t="shared" ref="C15:Q15" si="8">SUM(C4:C14)</f>
        <v>67460</v>
      </c>
      <c r="D15" s="2">
        <f t="shared" si="8"/>
        <v>30951.510000000002</v>
      </c>
      <c r="E15" s="2">
        <f t="shared" si="8"/>
        <v>36508.49</v>
      </c>
      <c r="F15" s="31">
        <f t="shared" si="8"/>
        <v>0</v>
      </c>
      <c r="G15" s="2">
        <f t="shared" si="8"/>
        <v>0</v>
      </c>
      <c r="H15" s="31">
        <f t="shared" si="8"/>
        <v>0</v>
      </c>
      <c r="I15" s="31">
        <f t="shared" si="8"/>
        <v>0</v>
      </c>
      <c r="J15" s="31">
        <f t="shared" si="8"/>
        <v>7430.4</v>
      </c>
      <c r="K15" s="31">
        <f t="shared" si="8"/>
        <v>160</v>
      </c>
      <c r="L15" s="31">
        <f t="shared" si="8"/>
        <v>0</v>
      </c>
      <c r="M15" s="31">
        <f t="shared" si="8"/>
        <v>10850.14</v>
      </c>
      <c r="N15" s="31">
        <f t="shared" si="8"/>
        <v>4149.7</v>
      </c>
      <c r="O15" s="31">
        <f t="shared" si="8"/>
        <v>6674.4</v>
      </c>
      <c r="P15" s="31">
        <f t="shared" si="8"/>
        <v>0</v>
      </c>
      <c r="Q15" s="2">
        <f t="shared" si="8"/>
        <v>1686.87</v>
      </c>
    </row>
    <row r="16" spans="1:19" x14ac:dyDescent="0.25">
      <c r="A16" s="15"/>
      <c r="B16" s="15"/>
      <c r="C16" s="15"/>
      <c r="D16" s="15"/>
      <c r="E16" s="15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15"/>
    </row>
    <row r="17" spans="1:19" x14ac:dyDescent="0.25">
      <c r="A17" s="16" t="s">
        <v>14</v>
      </c>
      <c r="B17" s="16"/>
      <c r="C17" s="17"/>
      <c r="D17" s="17"/>
      <c r="E17" s="17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13"/>
      <c r="R17" s="20"/>
    </row>
    <row r="18" spans="1:19" x14ac:dyDescent="0.25">
      <c r="A18" s="13" t="s">
        <v>15</v>
      </c>
      <c r="B18" s="13"/>
      <c r="C18" s="17">
        <v>26248</v>
      </c>
      <c r="D18" s="4">
        <f>SUM(F18:Q18)</f>
        <v>0</v>
      </c>
      <c r="E18" s="4">
        <f t="shared" ref="E18:E19" si="9">C18-D18</f>
        <v>26248</v>
      </c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</row>
    <row r="19" spans="1:19" x14ac:dyDescent="0.25">
      <c r="A19" s="13" t="s">
        <v>50</v>
      </c>
      <c r="B19" s="13"/>
      <c r="C19" s="17">
        <v>0</v>
      </c>
      <c r="D19" s="4">
        <f>SUM(F19:Q19)</f>
        <v>6224</v>
      </c>
      <c r="E19" s="4">
        <f t="shared" si="9"/>
        <v>-6224</v>
      </c>
      <c r="F19" s="4">
        <v>6224</v>
      </c>
      <c r="G19" s="4"/>
      <c r="H19" s="4"/>
      <c r="I19" s="4"/>
      <c r="J19" s="4"/>
      <c r="K19" s="4"/>
      <c r="L19" s="4"/>
      <c r="M19" s="4"/>
      <c r="N19" s="4"/>
      <c r="O19" s="4"/>
      <c r="P19" s="4"/>
      <c r="Q19" s="13"/>
      <c r="R19" s="20">
        <v>52605</v>
      </c>
    </row>
    <row r="20" spans="1:19" x14ac:dyDescent="0.25">
      <c r="A20" s="13" t="s">
        <v>51</v>
      </c>
      <c r="B20" s="13"/>
      <c r="C20" s="17">
        <v>0</v>
      </c>
      <c r="D20" s="4">
        <f t="shared" ref="D20:D21" si="10">SUM(F20:Q20)</f>
        <v>7473.5400000000009</v>
      </c>
      <c r="E20" s="4">
        <f t="shared" ref="E20:E21" si="11">C20-D20</f>
        <v>-7473.5400000000009</v>
      </c>
      <c r="F20" s="4">
        <f>6951.06+522.48</f>
        <v>7473.5400000000009</v>
      </c>
      <c r="G20" s="4"/>
      <c r="H20" s="4"/>
      <c r="I20" s="4"/>
      <c r="J20" s="4"/>
      <c r="K20" s="4"/>
      <c r="L20" s="4"/>
      <c r="M20" s="4"/>
      <c r="N20" s="4"/>
      <c r="O20" s="4"/>
      <c r="P20" s="4"/>
      <c r="Q20" s="13"/>
      <c r="R20" s="20">
        <v>52774</v>
      </c>
    </row>
    <row r="21" spans="1:19" x14ac:dyDescent="0.25">
      <c r="A21" s="13" t="s">
        <v>53</v>
      </c>
      <c r="B21" s="13"/>
      <c r="C21" s="17">
        <v>0</v>
      </c>
      <c r="D21" s="4">
        <f t="shared" si="10"/>
        <v>6398</v>
      </c>
      <c r="E21" s="4">
        <f t="shared" si="11"/>
        <v>-6398</v>
      </c>
      <c r="F21" s="4"/>
      <c r="G21" s="4">
        <v>3090</v>
      </c>
      <c r="H21" s="4">
        <v>3308</v>
      </c>
      <c r="I21" s="4"/>
      <c r="J21" s="4"/>
      <c r="K21" s="4"/>
      <c r="L21" s="4"/>
      <c r="M21" s="4"/>
      <c r="N21" s="4"/>
      <c r="O21" s="4"/>
      <c r="P21" s="4"/>
      <c r="Q21" s="13"/>
      <c r="R21" s="20">
        <v>52902</v>
      </c>
    </row>
    <row r="22" spans="1:19" x14ac:dyDescent="0.25">
      <c r="A22" s="13" t="s">
        <v>55</v>
      </c>
      <c r="B22" s="13"/>
      <c r="C22" s="17">
        <v>0</v>
      </c>
      <c r="D22" s="4">
        <f t="shared" ref="D22" si="12">SUM(F22:Q22)</f>
        <v>12784.75</v>
      </c>
      <c r="E22" s="4">
        <f t="shared" ref="E22" si="13">C22-D22</f>
        <v>-12784.75</v>
      </c>
      <c r="F22" s="4"/>
      <c r="G22" s="4"/>
      <c r="H22" s="4">
        <f>1971.78+3500</f>
        <v>5471.78</v>
      </c>
      <c r="I22" s="4">
        <f>1347.97+5965</f>
        <v>7312.97</v>
      </c>
      <c r="J22" s="4"/>
      <c r="K22" s="4"/>
      <c r="L22" s="4"/>
      <c r="M22" s="4"/>
      <c r="N22" s="4"/>
      <c r="O22" s="4"/>
      <c r="P22" s="4"/>
      <c r="Q22" s="13"/>
      <c r="R22" s="20" t="s">
        <v>54</v>
      </c>
    </row>
    <row r="23" spans="1:19" x14ac:dyDescent="0.25">
      <c r="A23" s="13" t="s">
        <v>57</v>
      </c>
      <c r="B23" s="13"/>
      <c r="C23" s="17">
        <v>0</v>
      </c>
      <c r="D23" s="4">
        <f t="shared" ref="D23" si="14">SUM(F23:Q23)</f>
        <v>6567.68</v>
      </c>
      <c r="E23" s="4">
        <f t="shared" ref="E23" si="15">C23-D23</f>
        <v>-6567.68</v>
      </c>
      <c r="F23" s="4"/>
      <c r="G23" s="4"/>
      <c r="H23" s="4">
        <v>1800</v>
      </c>
      <c r="I23" s="4"/>
      <c r="J23" s="4">
        <v>1031.56</v>
      </c>
      <c r="K23" s="4">
        <v>143.66</v>
      </c>
      <c r="L23" s="4"/>
      <c r="M23" s="4">
        <v>809.1</v>
      </c>
      <c r="N23" s="4">
        <f>79.07+128.24+455.06</f>
        <v>662.37</v>
      </c>
      <c r="O23" s="4"/>
      <c r="P23" s="4">
        <v>1626.9</v>
      </c>
      <c r="Q23" s="23">
        <v>494.09</v>
      </c>
      <c r="R23" s="20" t="s">
        <v>80</v>
      </c>
    </row>
    <row r="24" spans="1:19" ht="14.95" x14ac:dyDescent="0.25">
      <c r="A24" s="13" t="s">
        <v>58</v>
      </c>
      <c r="B24" s="13"/>
      <c r="C24" s="17">
        <v>0</v>
      </c>
      <c r="D24" s="4">
        <f t="shared" ref="D24:D25" si="16">SUM(F24:Q24)</f>
        <v>7379.91</v>
      </c>
      <c r="E24" s="4">
        <f t="shared" ref="E24:E25" si="17">C24-D24</f>
        <v>-7379.91</v>
      </c>
      <c r="F24" s="4"/>
      <c r="G24" s="4"/>
      <c r="H24" s="4">
        <v>653</v>
      </c>
      <c r="I24" s="4"/>
      <c r="J24" s="4">
        <v>2612</v>
      </c>
      <c r="K24" s="4">
        <f>441.34+98.99+3309.8+264.78</f>
        <v>4114.91</v>
      </c>
      <c r="L24" s="4"/>
      <c r="M24" s="4"/>
      <c r="N24" s="4"/>
      <c r="O24" s="4"/>
      <c r="P24" s="4"/>
      <c r="Q24" s="4"/>
      <c r="R24" s="20" t="s">
        <v>67</v>
      </c>
      <c r="S24" s="4">
        <f>4958-T24</f>
        <v>4958</v>
      </c>
    </row>
    <row r="25" spans="1:19" x14ac:dyDescent="0.25">
      <c r="A25" s="13" t="s">
        <v>59</v>
      </c>
      <c r="B25" s="13"/>
      <c r="C25" s="17">
        <v>0</v>
      </c>
      <c r="D25" s="4">
        <f t="shared" si="16"/>
        <v>3995</v>
      </c>
      <c r="E25" s="4">
        <f t="shared" si="17"/>
        <v>-3995</v>
      </c>
      <c r="F25" s="4"/>
      <c r="G25" s="4"/>
      <c r="H25" s="4"/>
      <c r="I25" s="4"/>
      <c r="J25" s="4"/>
      <c r="K25" s="4">
        <v>3995</v>
      </c>
      <c r="L25" s="4"/>
      <c r="M25" s="4"/>
      <c r="N25" s="4"/>
      <c r="O25" s="4"/>
      <c r="P25" s="4"/>
      <c r="Q25" s="13"/>
      <c r="R25" s="20">
        <v>53628</v>
      </c>
    </row>
    <row r="26" spans="1:19" x14ac:dyDescent="0.25">
      <c r="A26" s="13" t="s">
        <v>60</v>
      </c>
      <c r="B26" s="13"/>
      <c r="C26" s="17">
        <v>0</v>
      </c>
      <c r="D26" s="4">
        <f t="shared" ref="D26" si="18">SUM(F26:Q26)</f>
        <v>8770.68</v>
      </c>
      <c r="E26" s="4">
        <f t="shared" ref="E26" si="19">C26-D26</f>
        <v>-8770.68</v>
      </c>
      <c r="F26" s="4"/>
      <c r="G26" s="4"/>
      <c r="H26" s="4"/>
      <c r="I26" s="4">
        <v>4400</v>
      </c>
      <c r="J26" s="4"/>
      <c r="K26" s="4"/>
      <c r="L26" s="4"/>
      <c r="M26" s="4">
        <v>4370.68</v>
      </c>
      <c r="N26" s="4"/>
      <c r="O26" s="4"/>
      <c r="P26" s="4"/>
      <c r="Q26" s="13"/>
      <c r="R26" s="20">
        <v>53643</v>
      </c>
    </row>
    <row r="27" spans="1:19" x14ac:dyDescent="0.25">
      <c r="A27" s="13" t="s">
        <v>61</v>
      </c>
      <c r="B27" s="13"/>
      <c r="C27" s="17">
        <v>0</v>
      </c>
      <c r="D27" s="4">
        <f t="shared" ref="D27:D28" si="20">SUM(F27:Q27)</f>
        <v>2143.2000000000003</v>
      </c>
      <c r="E27" s="4">
        <f t="shared" ref="E27:E28" si="21">C27-D27</f>
        <v>-2143.2000000000003</v>
      </c>
      <c r="F27" s="4"/>
      <c r="G27" s="4"/>
      <c r="H27" s="4"/>
      <c r="I27" s="4"/>
      <c r="J27" s="4">
        <f>311.66+97.59+115.08</f>
        <v>524.33000000000004</v>
      </c>
      <c r="K27" s="4">
        <f>990+79.2</f>
        <v>1069.2</v>
      </c>
      <c r="L27" s="4"/>
      <c r="M27" s="4"/>
      <c r="N27" s="4"/>
      <c r="O27" s="4">
        <v>549.66999999999996</v>
      </c>
      <c r="P27" s="4"/>
      <c r="Q27" s="13"/>
      <c r="R27" s="20" t="s">
        <v>62</v>
      </c>
    </row>
    <row r="28" spans="1:19" x14ac:dyDescent="0.25">
      <c r="A28" s="13" t="s">
        <v>63</v>
      </c>
      <c r="B28" s="13"/>
      <c r="C28" s="17">
        <v>0</v>
      </c>
      <c r="D28" s="4">
        <f t="shared" si="20"/>
        <v>2605.34</v>
      </c>
      <c r="E28" s="4">
        <f t="shared" si="21"/>
        <v>-2605.34</v>
      </c>
      <c r="F28" s="4"/>
      <c r="G28" s="4"/>
      <c r="H28" s="4"/>
      <c r="I28" s="4"/>
      <c r="J28" s="4">
        <f>2449.9+155.44</f>
        <v>2605.34</v>
      </c>
      <c r="K28" s="4"/>
      <c r="L28" s="4"/>
      <c r="M28" s="4"/>
      <c r="N28" s="4"/>
      <c r="O28" s="4"/>
      <c r="P28" s="4"/>
      <c r="Q28" s="13"/>
      <c r="R28" s="20">
        <v>53671</v>
      </c>
    </row>
    <row r="29" spans="1:19" x14ac:dyDescent="0.25">
      <c r="A29" s="13" t="s">
        <v>64</v>
      </c>
      <c r="B29" s="13"/>
      <c r="C29" s="17">
        <v>0</v>
      </c>
      <c r="D29" s="4">
        <f t="shared" ref="D29:D31" si="22">SUM(F29:Q29)</f>
        <v>4316.7700000000004</v>
      </c>
      <c r="E29" s="4">
        <f t="shared" ref="E29:E31" si="23">C29-D29</f>
        <v>-4316.7700000000004</v>
      </c>
      <c r="F29" s="4"/>
      <c r="G29" s="4"/>
      <c r="H29" s="4"/>
      <c r="I29" s="4">
        <v>3816.77</v>
      </c>
      <c r="J29" s="4">
        <v>500</v>
      </c>
      <c r="K29" s="4"/>
      <c r="L29" s="4"/>
      <c r="M29" s="4"/>
      <c r="N29" s="4"/>
      <c r="O29" s="4"/>
      <c r="P29" s="4"/>
      <c r="Q29" s="13"/>
      <c r="R29" s="20" t="s">
        <v>66</v>
      </c>
    </row>
    <row r="30" spans="1:19" x14ac:dyDescent="0.25">
      <c r="A30" s="13" t="s">
        <v>65</v>
      </c>
      <c r="B30" s="13"/>
      <c r="C30" s="17">
        <v>0</v>
      </c>
      <c r="D30" s="4">
        <f t="shared" si="22"/>
        <v>2921.15</v>
      </c>
      <c r="E30" s="4">
        <f t="shared" si="23"/>
        <v>-2921.15</v>
      </c>
      <c r="F30" s="4"/>
      <c r="G30" s="4"/>
      <c r="H30" s="4"/>
      <c r="I30" s="4"/>
      <c r="J30" s="4">
        <v>2921.15</v>
      </c>
      <c r="K30" s="4"/>
      <c r="L30" s="4"/>
      <c r="M30" s="4"/>
      <c r="N30" s="4"/>
      <c r="O30" s="4"/>
      <c r="P30" s="4"/>
      <c r="Q30" s="13"/>
      <c r="R30" s="20">
        <v>53912</v>
      </c>
    </row>
    <row r="31" spans="1:19" x14ac:dyDescent="0.25">
      <c r="A31" s="13" t="s">
        <v>68</v>
      </c>
      <c r="B31" s="13"/>
      <c r="C31" s="17">
        <v>0</v>
      </c>
      <c r="D31" s="4">
        <f t="shared" si="22"/>
        <v>1456.94</v>
      </c>
      <c r="E31" s="4">
        <f t="shared" si="23"/>
        <v>-1456.94</v>
      </c>
      <c r="F31" s="4"/>
      <c r="G31" s="4"/>
      <c r="H31" s="4"/>
      <c r="I31" s="4"/>
      <c r="J31" s="4"/>
      <c r="K31" s="4"/>
      <c r="L31" s="4"/>
      <c r="M31" s="4"/>
      <c r="N31" s="4"/>
      <c r="O31" s="4"/>
      <c r="P31" s="4">
        <v>1456.94</v>
      </c>
      <c r="Q31" s="13"/>
      <c r="R31" s="20">
        <v>54227</v>
      </c>
    </row>
    <row r="32" spans="1:19" x14ac:dyDescent="0.25">
      <c r="A32" s="13" t="s">
        <v>69</v>
      </c>
      <c r="B32" s="13"/>
      <c r="C32" s="17">
        <v>0</v>
      </c>
      <c r="D32" s="4">
        <f t="shared" ref="D32:D35" si="24">SUM(F32:Q32)</f>
        <v>3703.6899999999996</v>
      </c>
      <c r="E32" s="4">
        <f t="shared" ref="E32:E35" si="25">C32-D32</f>
        <v>-3703.6899999999996</v>
      </c>
      <c r="F32" s="4"/>
      <c r="G32" s="4"/>
      <c r="H32" s="4"/>
      <c r="I32" s="4"/>
      <c r="J32" s="4"/>
      <c r="K32" s="4">
        <f>1356.86+100.08</f>
        <v>1456.9399999999998</v>
      </c>
      <c r="L32" s="4"/>
      <c r="M32" s="4"/>
      <c r="N32" s="4"/>
      <c r="O32" s="4">
        <v>2246.75</v>
      </c>
      <c r="P32" s="4"/>
      <c r="Q32" s="13"/>
      <c r="R32" s="20">
        <v>54315</v>
      </c>
    </row>
    <row r="33" spans="1:19" x14ac:dyDescent="0.25">
      <c r="A33" s="13" t="s">
        <v>70</v>
      </c>
      <c r="B33" s="13"/>
      <c r="C33" s="17">
        <v>0</v>
      </c>
      <c r="D33" s="4">
        <f t="shared" si="24"/>
        <v>1289.57</v>
      </c>
      <c r="E33" s="4">
        <f t="shared" si="25"/>
        <v>-1289.57</v>
      </c>
      <c r="F33" s="4"/>
      <c r="G33" s="4"/>
      <c r="H33" s="4"/>
      <c r="I33" s="4"/>
      <c r="J33" s="4"/>
      <c r="K33" s="4"/>
      <c r="L33" s="4">
        <v>1289.57</v>
      </c>
      <c r="M33" s="4"/>
      <c r="N33" s="4"/>
      <c r="O33" s="4"/>
      <c r="P33" s="4"/>
      <c r="Q33" s="13"/>
      <c r="R33" s="20">
        <v>54363</v>
      </c>
    </row>
    <row r="34" spans="1:19" x14ac:dyDescent="0.25">
      <c r="A34" s="13" t="s">
        <v>72</v>
      </c>
      <c r="B34" s="13"/>
      <c r="C34" s="17">
        <v>0</v>
      </c>
      <c r="D34" s="4">
        <f t="shared" si="24"/>
        <v>2709.82</v>
      </c>
      <c r="E34" s="4">
        <f t="shared" si="25"/>
        <v>-2709.82</v>
      </c>
      <c r="F34" s="4"/>
      <c r="G34" s="4"/>
      <c r="H34" s="4"/>
      <c r="I34" s="4"/>
      <c r="J34" s="4"/>
      <c r="K34" s="4"/>
      <c r="L34" s="4"/>
      <c r="M34" s="4">
        <v>2709.82</v>
      </c>
      <c r="N34" s="4"/>
      <c r="O34" s="4"/>
      <c r="P34" s="4"/>
      <c r="Q34" s="13"/>
      <c r="R34" s="20">
        <v>55034</v>
      </c>
    </row>
    <row r="35" spans="1:19" x14ac:dyDescent="0.25">
      <c r="A35" s="13" t="s">
        <v>73</v>
      </c>
      <c r="B35" s="13"/>
      <c r="C35" s="17">
        <v>0</v>
      </c>
      <c r="D35" s="4">
        <f t="shared" si="24"/>
        <v>2200</v>
      </c>
      <c r="E35" s="4">
        <f t="shared" si="25"/>
        <v>-2200</v>
      </c>
      <c r="F35" s="4"/>
      <c r="G35" s="4"/>
      <c r="H35" s="4"/>
      <c r="I35" s="4"/>
      <c r="J35" s="4"/>
      <c r="K35" s="4"/>
      <c r="L35" s="4"/>
      <c r="M35" s="4"/>
      <c r="N35" s="4">
        <v>1300</v>
      </c>
      <c r="O35" s="4">
        <v>900</v>
      </c>
      <c r="P35" s="4"/>
      <c r="Q35" s="13"/>
      <c r="R35" s="20">
        <v>55223</v>
      </c>
    </row>
    <row r="36" spans="1:19" x14ac:dyDescent="0.25">
      <c r="A36" s="13" t="s">
        <v>75</v>
      </c>
      <c r="B36" s="13"/>
      <c r="C36" s="17">
        <v>0</v>
      </c>
      <c r="D36" s="4">
        <f t="shared" ref="D36:D38" si="26">SUM(F36:Q36)</f>
        <v>3838.49</v>
      </c>
      <c r="E36" s="4">
        <f t="shared" ref="E36:E38" si="27">C36-D36</f>
        <v>-3838.49</v>
      </c>
      <c r="F36" s="4"/>
      <c r="G36" s="4"/>
      <c r="H36" s="4"/>
      <c r="I36" s="4"/>
      <c r="J36" s="4"/>
      <c r="K36" s="4"/>
      <c r="L36" s="4"/>
      <c r="M36" s="4"/>
      <c r="N36" s="4"/>
      <c r="O36" s="4">
        <v>3838.49</v>
      </c>
      <c r="P36" s="4"/>
      <c r="Q36" s="13"/>
      <c r="R36" s="20">
        <v>55811</v>
      </c>
    </row>
    <row r="37" spans="1:19" x14ac:dyDescent="0.25">
      <c r="A37" s="13" t="s">
        <v>76</v>
      </c>
      <c r="B37" s="13"/>
      <c r="C37" s="17">
        <v>0</v>
      </c>
      <c r="D37" s="4">
        <f t="shared" si="26"/>
        <v>6300</v>
      </c>
      <c r="E37" s="4">
        <f t="shared" si="27"/>
        <v>-6300</v>
      </c>
      <c r="F37" s="4"/>
      <c r="G37" s="4"/>
      <c r="H37" s="4"/>
      <c r="I37" s="4"/>
      <c r="J37" s="4"/>
      <c r="K37" s="4"/>
      <c r="L37" s="4"/>
      <c r="M37" s="4"/>
      <c r="N37" s="4"/>
      <c r="O37" s="4"/>
      <c r="P37" s="4">
        <v>6300</v>
      </c>
      <c r="Q37" s="13"/>
      <c r="R37" s="20">
        <v>56058</v>
      </c>
    </row>
    <row r="38" spans="1:19" x14ac:dyDescent="0.25">
      <c r="A38" s="13" t="s">
        <v>77</v>
      </c>
      <c r="B38" s="13"/>
      <c r="C38" s="17">
        <v>0</v>
      </c>
      <c r="D38" s="4">
        <f t="shared" si="26"/>
        <v>2529.5</v>
      </c>
      <c r="E38" s="4">
        <f t="shared" si="27"/>
        <v>-2529.5</v>
      </c>
      <c r="F38" s="4"/>
      <c r="G38" s="4"/>
      <c r="H38" s="4"/>
      <c r="I38" s="4"/>
      <c r="J38" s="4"/>
      <c r="K38" s="4"/>
      <c r="L38" s="4"/>
      <c r="M38" s="4"/>
      <c r="N38" s="4"/>
      <c r="O38" s="4"/>
      <c r="P38" s="4">
        <v>1566</v>
      </c>
      <c r="Q38" s="23">
        <v>963.5</v>
      </c>
      <c r="R38" s="20" t="s">
        <v>81</v>
      </c>
      <c r="S38" s="6">
        <v>3766.1</v>
      </c>
    </row>
    <row r="39" spans="1:19" x14ac:dyDescent="0.25">
      <c r="A39" s="13" t="s">
        <v>78</v>
      </c>
      <c r="B39" s="13"/>
      <c r="C39" s="17">
        <v>0</v>
      </c>
      <c r="D39" s="4">
        <f t="shared" ref="D39" si="28">SUM(F39:Q39)</f>
        <v>2816.11</v>
      </c>
      <c r="E39" s="4">
        <f t="shared" ref="E39" si="29">C39-D39</f>
        <v>-2816.11</v>
      </c>
      <c r="F39" s="4"/>
      <c r="G39" s="4"/>
      <c r="H39" s="4"/>
      <c r="I39" s="4"/>
      <c r="J39" s="4"/>
      <c r="K39" s="4"/>
      <c r="L39" s="4"/>
      <c r="M39" s="4"/>
      <c r="N39" s="4"/>
      <c r="O39" s="4"/>
      <c r="P39" s="4">
        <v>2816.11</v>
      </c>
      <c r="Q39" s="13"/>
      <c r="R39" s="20">
        <v>56223</v>
      </c>
    </row>
    <row r="40" spans="1:19" x14ac:dyDescent="0.25">
      <c r="A40" s="13" t="s">
        <v>82</v>
      </c>
      <c r="B40" s="13"/>
      <c r="C40" s="17">
        <v>0</v>
      </c>
      <c r="D40" s="4">
        <f t="shared" ref="D40" si="30">SUM(F40:Q40)</f>
        <v>0</v>
      </c>
      <c r="E40" s="4">
        <f t="shared" ref="E40" si="31">C40-D40</f>
        <v>0</v>
      </c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13"/>
      <c r="R40" s="20">
        <v>56590</v>
      </c>
      <c r="S40" s="6">
        <v>3952.1</v>
      </c>
    </row>
    <row r="41" spans="1:19" x14ac:dyDescent="0.25">
      <c r="A41" s="13"/>
      <c r="B41" s="13"/>
      <c r="C41" s="17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13"/>
      <c r="R41" s="40"/>
    </row>
    <row r="42" spans="1:19" x14ac:dyDescent="0.25">
      <c r="A42" s="2" t="s">
        <v>16</v>
      </c>
      <c r="B42" s="14"/>
      <c r="C42" s="2">
        <f t="shared" ref="C42:Q42" si="32">SUM(C18:C40)</f>
        <v>26248</v>
      </c>
      <c r="D42" s="2">
        <f t="shared" si="32"/>
        <v>98424.140000000029</v>
      </c>
      <c r="E42" s="2">
        <f t="shared" si="32"/>
        <v>-72176.14</v>
      </c>
      <c r="F42" s="31">
        <f t="shared" si="32"/>
        <v>13697.54</v>
      </c>
      <c r="G42" s="31">
        <f t="shared" si="32"/>
        <v>3090</v>
      </c>
      <c r="H42" s="31">
        <f t="shared" si="32"/>
        <v>11232.779999999999</v>
      </c>
      <c r="I42" s="31">
        <f t="shared" si="32"/>
        <v>15529.740000000002</v>
      </c>
      <c r="J42" s="31">
        <f t="shared" si="32"/>
        <v>10194.380000000001</v>
      </c>
      <c r="K42" s="31">
        <f t="shared" si="32"/>
        <v>10779.710000000001</v>
      </c>
      <c r="L42" s="31">
        <f t="shared" si="32"/>
        <v>1289.57</v>
      </c>
      <c r="M42" s="31">
        <f t="shared" si="32"/>
        <v>7889.6</v>
      </c>
      <c r="N42" s="31">
        <f t="shared" si="32"/>
        <v>1962.37</v>
      </c>
      <c r="O42" s="31">
        <f t="shared" si="32"/>
        <v>7534.91</v>
      </c>
      <c r="P42" s="31">
        <f t="shared" si="32"/>
        <v>13765.95</v>
      </c>
      <c r="Q42" s="2">
        <f t="shared" si="32"/>
        <v>1457.59</v>
      </c>
    </row>
    <row r="43" spans="1:19" x14ac:dyDescent="0.25">
      <c r="A43" s="13"/>
      <c r="B43" s="13"/>
      <c r="C43" s="17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13"/>
      <c r="R43" s="20"/>
    </row>
    <row r="44" spans="1:19" x14ac:dyDescent="0.25">
      <c r="A44" s="2" t="s">
        <v>25</v>
      </c>
      <c r="B44" s="14"/>
      <c r="C44" s="2">
        <f t="shared" ref="C44:Q44" si="33">C42+C15</f>
        <v>93708</v>
      </c>
      <c r="D44" s="2">
        <f t="shared" si="33"/>
        <v>129375.65000000002</v>
      </c>
      <c r="E44" s="2">
        <f t="shared" si="33"/>
        <v>-35667.65</v>
      </c>
      <c r="F44" s="31">
        <f t="shared" si="33"/>
        <v>13697.54</v>
      </c>
      <c r="G44" s="31">
        <f t="shared" si="33"/>
        <v>3090</v>
      </c>
      <c r="H44" s="31">
        <f t="shared" si="33"/>
        <v>11232.779999999999</v>
      </c>
      <c r="I44" s="31">
        <f t="shared" si="33"/>
        <v>15529.740000000002</v>
      </c>
      <c r="J44" s="31">
        <f t="shared" si="33"/>
        <v>17624.78</v>
      </c>
      <c r="K44" s="31">
        <f t="shared" si="33"/>
        <v>10939.710000000001</v>
      </c>
      <c r="L44" s="31">
        <f t="shared" si="33"/>
        <v>1289.57</v>
      </c>
      <c r="M44" s="31">
        <f t="shared" si="33"/>
        <v>18739.739999999998</v>
      </c>
      <c r="N44" s="31">
        <f t="shared" si="33"/>
        <v>6112.07</v>
      </c>
      <c r="O44" s="31">
        <f t="shared" si="33"/>
        <v>14209.31</v>
      </c>
      <c r="P44" s="31">
        <f t="shared" si="33"/>
        <v>13765.95</v>
      </c>
      <c r="Q44" s="2">
        <f t="shared" si="33"/>
        <v>3144.46</v>
      </c>
    </row>
    <row r="45" spans="1:19" s="15" customFormat="1" x14ac:dyDescent="0.25">
      <c r="A45" s="28"/>
      <c r="B45" s="13"/>
      <c r="C45" s="28"/>
      <c r="D45" s="28"/>
      <c r="E45" s="28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28"/>
      <c r="R45" s="29"/>
    </row>
    <row r="46" spans="1:19" ht="24.8" customHeight="1" x14ac:dyDescent="0.25">
      <c r="A46" s="27" t="s">
        <v>24</v>
      </c>
      <c r="B46" s="36"/>
      <c r="C46" s="2"/>
      <c r="D46" s="2">
        <f>SUM(F46:Q46)</f>
        <v>0</v>
      </c>
      <c r="E46" s="2">
        <f>C46-D46</f>
        <v>0</v>
      </c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2"/>
    </row>
    <row r="47" spans="1:19" ht="14.95" x14ac:dyDescent="0.25">
      <c r="A47" s="26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20"/>
    </row>
    <row r="48" spans="1:19" ht="14.95" x14ac:dyDescent="0.25">
      <c r="A48" s="28" t="s">
        <v>22</v>
      </c>
      <c r="B48" s="13"/>
      <c r="C48" s="17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13"/>
      <c r="R48" s="20"/>
    </row>
    <row r="49" spans="1:19" ht="14.95" x14ac:dyDescent="0.25">
      <c r="A49" s="13" t="s">
        <v>45</v>
      </c>
      <c r="B49" s="13"/>
      <c r="C49" s="17">
        <v>21976</v>
      </c>
      <c r="D49" s="4">
        <f t="shared" ref="D49:D51" si="34">SUM(F49:Q49)</f>
        <v>6884.4</v>
      </c>
      <c r="E49" s="4">
        <f t="shared" ref="E49:E51" si="35">C49-D49</f>
        <v>15091.6</v>
      </c>
      <c r="F49" s="4">
        <f>265.4+2500</f>
        <v>2765.4</v>
      </c>
      <c r="G49" s="4"/>
      <c r="H49" s="4"/>
      <c r="I49" s="4"/>
      <c r="J49" s="4"/>
      <c r="K49" s="4">
        <v>4119</v>
      </c>
      <c r="L49" s="4"/>
      <c r="M49" s="4"/>
      <c r="N49" s="4"/>
      <c r="O49" s="4"/>
      <c r="P49" s="4"/>
      <c r="Q49" s="4"/>
      <c r="R49" s="20">
        <v>51649</v>
      </c>
      <c r="S49" s="6">
        <v>9211</v>
      </c>
    </row>
    <row r="50" spans="1:19" ht="14.95" x14ac:dyDescent="0.25">
      <c r="A50" s="13" t="s">
        <v>46</v>
      </c>
      <c r="B50" s="13"/>
      <c r="C50" s="17">
        <v>4972</v>
      </c>
      <c r="D50" s="4">
        <f t="shared" si="34"/>
        <v>0</v>
      </c>
      <c r="E50" s="4">
        <f t="shared" si="35"/>
        <v>4972</v>
      </c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13"/>
      <c r="R50" s="20">
        <v>51814</v>
      </c>
    </row>
    <row r="51" spans="1:19" x14ac:dyDescent="0.25">
      <c r="A51" s="13" t="s">
        <v>47</v>
      </c>
      <c r="B51" s="13"/>
      <c r="C51" s="17">
        <v>6081.4</v>
      </c>
      <c r="D51" s="4">
        <f t="shared" si="34"/>
        <v>6081.4</v>
      </c>
      <c r="E51" s="4">
        <f t="shared" si="35"/>
        <v>0</v>
      </c>
      <c r="F51" s="4">
        <f>3831.8+2249.6</f>
        <v>6081.4</v>
      </c>
      <c r="G51" s="4"/>
      <c r="H51" s="4"/>
      <c r="I51" s="4"/>
      <c r="J51" s="4"/>
      <c r="K51" s="4"/>
      <c r="L51" s="4"/>
      <c r="M51" s="4"/>
      <c r="N51" s="4"/>
      <c r="O51" s="4"/>
      <c r="P51" s="4"/>
      <c r="Q51" s="13"/>
      <c r="R51" s="20" t="s">
        <v>49</v>
      </c>
    </row>
    <row r="52" spans="1:19" x14ac:dyDescent="0.25">
      <c r="A52" s="13" t="s">
        <v>56</v>
      </c>
      <c r="B52" s="13"/>
      <c r="C52" s="17"/>
      <c r="D52" s="4">
        <f t="shared" ref="D52:D53" si="36">SUM(F52:Q52)</f>
        <v>4854.6000000000004</v>
      </c>
      <c r="E52" s="4">
        <f t="shared" ref="E52:E53" si="37">C52-D52</f>
        <v>-4854.6000000000004</v>
      </c>
      <c r="F52" s="4"/>
      <c r="G52" s="4"/>
      <c r="H52" s="4">
        <v>4854.6000000000004</v>
      </c>
      <c r="I52" s="4"/>
      <c r="J52" s="4"/>
      <c r="K52" s="4"/>
      <c r="L52" s="4"/>
      <c r="M52" s="4"/>
      <c r="N52" s="4"/>
      <c r="O52" s="4"/>
      <c r="P52" s="4"/>
      <c r="Q52" s="13"/>
      <c r="R52" s="20">
        <v>45040</v>
      </c>
    </row>
    <row r="53" spans="1:19" x14ac:dyDescent="0.25">
      <c r="A53" s="13" t="s">
        <v>48</v>
      </c>
      <c r="B53" s="13"/>
      <c r="C53" s="17">
        <v>2788</v>
      </c>
      <c r="D53" s="4">
        <f t="shared" si="36"/>
        <v>0</v>
      </c>
      <c r="E53" s="4">
        <f t="shared" si="37"/>
        <v>2788</v>
      </c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13"/>
      <c r="R53" s="20">
        <v>45121</v>
      </c>
    </row>
    <row r="54" spans="1:19" x14ac:dyDescent="0.25">
      <c r="A54" s="13" t="s">
        <v>52</v>
      </c>
      <c r="B54" s="13"/>
      <c r="C54" s="17">
        <v>150000</v>
      </c>
      <c r="D54" s="4">
        <f t="shared" ref="D54" si="38">SUM(F54:Q54)</f>
        <v>7033</v>
      </c>
      <c r="E54" s="4">
        <f t="shared" ref="E54" si="39">C54-D54</f>
        <v>142967</v>
      </c>
      <c r="F54" s="4">
        <f>500+1750+1783+3000</f>
        <v>7033</v>
      </c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20" t="s">
        <v>74</v>
      </c>
      <c r="S54" s="4">
        <v>142967</v>
      </c>
    </row>
    <row r="55" spans="1:19" x14ac:dyDescent="0.25">
      <c r="A55" s="13"/>
      <c r="B55" s="13"/>
      <c r="C55" s="17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13"/>
      <c r="R55" s="20"/>
    </row>
    <row r="56" spans="1:19" x14ac:dyDescent="0.25">
      <c r="A56" s="2" t="s">
        <v>23</v>
      </c>
      <c r="B56" s="14"/>
      <c r="C56" s="2">
        <f t="shared" ref="C56:Q56" si="40">SUM(C49:C55)</f>
        <v>185817.4</v>
      </c>
      <c r="D56" s="2">
        <f t="shared" si="40"/>
        <v>24853.4</v>
      </c>
      <c r="E56" s="2">
        <f t="shared" si="40"/>
        <v>160964</v>
      </c>
      <c r="F56" s="31">
        <f t="shared" si="40"/>
        <v>15879.8</v>
      </c>
      <c r="G56" s="31">
        <f t="shared" si="40"/>
        <v>0</v>
      </c>
      <c r="H56" s="31">
        <f t="shared" si="40"/>
        <v>4854.6000000000004</v>
      </c>
      <c r="I56" s="31">
        <f t="shared" si="40"/>
        <v>0</v>
      </c>
      <c r="J56" s="31">
        <f t="shared" si="40"/>
        <v>0</v>
      </c>
      <c r="K56" s="31">
        <f t="shared" si="40"/>
        <v>4119</v>
      </c>
      <c r="L56" s="31">
        <f t="shared" si="40"/>
        <v>0</v>
      </c>
      <c r="M56" s="31">
        <f t="shared" si="40"/>
        <v>0</v>
      </c>
      <c r="N56" s="31">
        <f t="shared" si="40"/>
        <v>0</v>
      </c>
      <c r="O56" s="31">
        <f t="shared" si="40"/>
        <v>0</v>
      </c>
      <c r="P56" s="31">
        <f t="shared" si="40"/>
        <v>0</v>
      </c>
      <c r="Q56" s="2">
        <f t="shared" si="40"/>
        <v>0</v>
      </c>
    </row>
    <row r="57" spans="1:19" s="25" customFormat="1" x14ac:dyDescent="0.25">
      <c r="A57" s="23"/>
      <c r="B57" s="23"/>
      <c r="C57" s="22"/>
      <c r="D57" s="22"/>
      <c r="E57" s="22"/>
      <c r="F57" s="33"/>
      <c r="G57" s="37"/>
      <c r="H57" s="33"/>
      <c r="I57" s="33"/>
      <c r="J57" s="33"/>
      <c r="K57" s="33"/>
      <c r="L57" s="33"/>
      <c r="M57" s="33"/>
      <c r="N57" s="33"/>
      <c r="O57" s="33"/>
      <c r="P57" s="33"/>
      <c r="Q57" s="22"/>
      <c r="R57" s="24"/>
    </row>
    <row r="58" spans="1:19" x14ac:dyDescent="0.25">
      <c r="A58" s="3" t="s">
        <v>17</v>
      </c>
      <c r="B58" s="18"/>
      <c r="C58" s="3">
        <f t="shared" ref="C58:Q58" si="41">C44+C46+C56</f>
        <v>279525.40000000002</v>
      </c>
      <c r="D58" s="3">
        <f t="shared" si="41"/>
        <v>154229.05000000002</v>
      </c>
      <c r="E58" s="3">
        <f t="shared" si="41"/>
        <v>125296.35</v>
      </c>
      <c r="F58" s="35">
        <f t="shared" si="41"/>
        <v>29577.34</v>
      </c>
      <c r="G58" s="35">
        <f t="shared" si="41"/>
        <v>3090</v>
      </c>
      <c r="H58" s="35">
        <f t="shared" si="41"/>
        <v>16087.38</v>
      </c>
      <c r="I58" s="35">
        <f t="shared" si="41"/>
        <v>15529.740000000002</v>
      </c>
      <c r="J58" s="35">
        <f t="shared" si="41"/>
        <v>17624.78</v>
      </c>
      <c r="K58" s="35">
        <f t="shared" si="41"/>
        <v>15058.710000000001</v>
      </c>
      <c r="L58" s="35">
        <f t="shared" si="41"/>
        <v>1289.57</v>
      </c>
      <c r="M58" s="35">
        <f t="shared" si="41"/>
        <v>18739.739999999998</v>
      </c>
      <c r="N58" s="35">
        <f t="shared" si="41"/>
        <v>6112.07</v>
      </c>
      <c r="O58" s="35">
        <f t="shared" si="41"/>
        <v>14209.31</v>
      </c>
      <c r="P58" s="35">
        <f t="shared" si="41"/>
        <v>13765.95</v>
      </c>
      <c r="Q58" s="3">
        <f t="shared" si="41"/>
        <v>3144.46</v>
      </c>
    </row>
    <row r="59" spans="1:19" x14ac:dyDescent="0.25">
      <c r="A59" s="15"/>
      <c r="B59" s="15"/>
      <c r="C59" s="15"/>
      <c r="D59" s="15"/>
      <c r="E59" s="15"/>
      <c r="F59" s="32"/>
      <c r="G59" s="32"/>
      <c r="H59" s="32"/>
      <c r="I59" s="32"/>
      <c r="J59" s="32"/>
      <c r="K59" s="32"/>
      <c r="L59" s="32"/>
      <c r="M59" s="32"/>
      <c r="N59" s="32"/>
      <c r="O59" s="32"/>
      <c r="P59" s="32"/>
      <c r="Q59" s="15"/>
    </row>
  </sheetData>
  <printOptions horizontalCentered="1"/>
  <pageMargins left="0.25" right="0.25" top="0.75" bottom="0.5" header="0.25" footer="0.25"/>
  <pageSetup scale="65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</dc:creator>
  <cp:lastModifiedBy>Aimee Swenson</cp:lastModifiedBy>
  <cp:lastPrinted>2021-09-12T14:55:12Z</cp:lastPrinted>
  <dcterms:created xsi:type="dcterms:W3CDTF">2017-07-12T12:37:52Z</dcterms:created>
  <dcterms:modified xsi:type="dcterms:W3CDTF">2022-01-10T19:59:24Z</dcterms:modified>
</cp:coreProperties>
</file>