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en\OneDrive\Documents\"/>
    </mc:Choice>
  </mc:AlternateContent>
  <xr:revisionPtr revIDLastSave="0" documentId="8_{937E81F3-74BB-45AE-99B8-137D1F9AEF2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12" sheetId="4" r:id="rId1"/>
    <sheet name="2022 P&amp;L" sheetId="1" r:id="rId2"/>
    <sheet name="2023 P&amp;L" sheetId="3" r:id="rId3"/>
    <sheet name="Year 1 Proforma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D66" i="2"/>
  <c r="E59" i="2"/>
  <c r="E56" i="2"/>
  <c r="Q39" i="4"/>
  <c r="B39" i="4"/>
  <c r="Q36" i="4"/>
  <c r="Q37" i="4"/>
  <c r="Q34" i="4"/>
  <c r="Q35" i="4"/>
  <c r="H28" i="4"/>
  <c r="H35" i="4" s="1"/>
  <c r="O34" i="1"/>
  <c r="D64" i="2"/>
  <c r="D63" i="2"/>
  <c r="B38" i="4"/>
  <c r="B37" i="4"/>
  <c r="Q19" i="4"/>
  <c r="H30" i="4"/>
  <c r="H12" i="4"/>
  <c r="J3" i="4"/>
  <c r="K3" i="4"/>
  <c r="L3" i="4"/>
  <c r="M3" i="4"/>
  <c r="N3" i="4"/>
  <c r="O3" i="4"/>
  <c r="P3" i="4"/>
  <c r="J4" i="4"/>
  <c r="K4" i="4"/>
  <c r="L4" i="4"/>
  <c r="M4" i="4"/>
  <c r="N4" i="4"/>
  <c r="O4" i="4"/>
  <c r="P4" i="4"/>
  <c r="J5" i="4"/>
  <c r="K5" i="4"/>
  <c r="L5" i="4"/>
  <c r="M5" i="4"/>
  <c r="N5" i="4"/>
  <c r="O5" i="4"/>
  <c r="P5" i="4"/>
  <c r="J6" i="4"/>
  <c r="K6" i="4"/>
  <c r="L6" i="4"/>
  <c r="M6" i="4"/>
  <c r="N6" i="4"/>
  <c r="O6" i="4"/>
  <c r="P6" i="4"/>
  <c r="J7" i="4"/>
  <c r="K7" i="4"/>
  <c r="L7" i="4"/>
  <c r="M7" i="4"/>
  <c r="N7" i="4"/>
  <c r="O7" i="4"/>
  <c r="P7" i="4"/>
  <c r="J8" i="4"/>
  <c r="K8" i="4"/>
  <c r="L8" i="4"/>
  <c r="M8" i="4"/>
  <c r="N8" i="4"/>
  <c r="O8" i="4"/>
  <c r="P8" i="4"/>
  <c r="J10" i="4"/>
  <c r="K10" i="4"/>
  <c r="L10" i="4"/>
  <c r="M10" i="4"/>
  <c r="N10" i="4"/>
  <c r="O10" i="4"/>
  <c r="P10" i="4"/>
  <c r="J11" i="4"/>
  <c r="K11" i="4"/>
  <c r="L11" i="4"/>
  <c r="M11" i="4"/>
  <c r="N11" i="4"/>
  <c r="O11" i="4"/>
  <c r="P11" i="4"/>
  <c r="J12" i="4"/>
  <c r="K12" i="4"/>
  <c r="L12" i="4"/>
  <c r="M12" i="4"/>
  <c r="N12" i="4"/>
  <c r="O12" i="4"/>
  <c r="P12" i="4"/>
  <c r="J13" i="4"/>
  <c r="K13" i="4"/>
  <c r="L13" i="4"/>
  <c r="M13" i="4"/>
  <c r="N13" i="4"/>
  <c r="O13" i="4"/>
  <c r="P13" i="4"/>
  <c r="J14" i="4"/>
  <c r="K14" i="4"/>
  <c r="L14" i="4"/>
  <c r="M14" i="4"/>
  <c r="N14" i="4"/>
  <c r="O14" i="4"/>
  <c r="P14" i="4"/>
  <c r="J15" i="4"/>
  <c r="K15" i="4"/>
  <c r="L15" i="4"/>
  <c r="M15" i="4"/>
  <c r="N15" i="4"/>
  <c r="O15" i="4"/>
  <c r="P15" i="4"/>
  <c r="J16" i="4"/>
  <c r="K16" i="4"/>
  <c r="L16" i="4"/>
  <c r="M16" i="4"/>
  <c r="N16" i="4"/>
  <c r="O16" i="4"/>
  <c r="P16" i="4"/>
  <c r="J17" i="4"/>
  <c r="K17" i="4"/>
  <c r="L17" i="4"/>
  <c r="M17" i="4"/>
  <c r="N17" i="4"/>
  <c r="O17" i="4"/>
  <c r="P17" i="4"/>
  <c r="J18" i="4"/>
  <c r="K18" i="4"/>
  <c r="L18" i="4"/>
  <c r="M18" i="4"/>
  <c r="N18" i="4"/>
  <c r="O18" i="4"/>
  <c r="P18" i="4"/>
  <c r="J19" i="4"/>
  <c r="K19" i="4"/>
  <c r="L19" i="4"/>
  <c r="M19" i="4"/>
  <c r="N19" i="4"/>
  <c r="O19" i="4"/>
  <c r="P19" i="4"/>
  <c r="J20" i="4"/>
  <c r="K20" i="4"/>
  <c r="L20" i="4"/>
  <c r="M20" i="4"/>
  <c r="N20" i="4"/>
  <c r="O20" i="4"/>
  <c r="P20" i="4"/>
  <c r="J21" i="4"/>
  <c r="K21" i="4"/>
  <c r="L21" i="4"/>
  <c r="M21" i="4"/>
  <c r="N21" i="4"/>
  <c r="O21" i="4"/>
  <c r="P21" i="4"/>
  <c r="J22" i="4"/>
  <c r="K22" i="4"/>
  <c r="L22" i="4"/>
  <c r="M22" i="4"/>
  <c r="N22" i="4"/>
  <c r="O22" i="4"/>
  <c r="P22" i="4"/>
  <c r="J23" i="4"/>
  <c r="K23" i="4"/>
  <c r="L23" i="4"/>
  <c r="M23" i="4"/>
  <c r="N23" i="4"/>
  <c r="O23" i="4"/>
  <c r="P23" i="4"/>
  <c r="J24" i="4"/>
  <c r="K24" i="4"/>
  <c r="L24" i="4"/>
  <c r="M24" i="4"/>
  <c r="N24" i="4"/>
  <c r="O24" i="4"/>
  <c r="P24" i="4"/>
  <c r="J25" i="4"/>
  <c r="K25" i="4"/>
  <c r="L25" i="4"/>
  <c r="M25" i="4"/>
  <c r="N25" i="4"/>
  <c r="O25" i="4"/>
  <c r="P25" i="4"/>
  <c r="J26" i="4"/>
  <c r="K26" i="4"/>
  <c r="L26" i="4"/>
  <c r="M26" i="4"/>
  <c r="N26" i="4"/>
  <c r="O26" i="4"/>
  <c r="P26" i="4"/>
  <c r="J27" i="4"/>
  <c r="K27" i="4"/>
  <c r="L27" i="4"/>
  <c r="M27" i="4"/>
  <c r="N27" i="4"/>
  <c r="O27" i="4"/>
  <c r="P27" i="4"/>
  <c r="J28" i="4"/>
  <c r="K28" i="4"/>
  <c r="L28" i="4"/>
  <c r="M28" i="4"/>
  <c r="N28" i="4"/>
  <c r="O28" i="4"/>
  <c r="P28" i="4"/>
  <c r="J30" i="4"/>
  <c r="K30" i="4"/>
  <c r="L30" i="4"/>
  <c r="M30" i="4"/>
  <c r="N30" i="4"/>
  <c r="O30" i="4"/>
  <c r="P30" i="4"/>
  <c r="J31" i="4"/>
  <c r="K31" i="4"/>
  <c r="L31" i="4"/>
  <c r="M31" i="4"/>
  <c r="N31" i="4"/>
  <c r="O31" i="4"/>
  <c r="P31" i="4"/>
  <c r="J32" i="4"/>
  <c r="K32" i="4"/>
  <c r="L32" i="4"/>
  <c r="M32" i="4"/>
  <c r="N32" i="4"/>
  <c r="O32" i="4"/>
  <c r="P32" i="4"/>
  <c r="J33" i="4"/>
  <c r="K33" i="4"/>
  <c r="L33" i="4"/>
  <c r="M33" i="4"/>
  <c r="N33" i="4"/>
  <c r="O33" i="4"/>
  <c r="P33" i="4"/>
  <c r="J34" i="4"/>
  <c r="K34" i="4"/>
  <c r="L34" i="4"/>
  <c r="M34" i="4"/>
  <c r="N34" i="4"/>
  <c r="O34" i="4"/>
  <c r="P34" i="4"/>
  <c r="J35" i="4"/>
  <c r="K35" i="4"/>
  <c r="L35" i="4"/>
  <c r="M35" i="4"/>
  <c r="N35" i="4"/>
  <c r="O35" i="4"/>
  <c r="P35" i="4"/>
  <c r="J36" i="4"/>
  <c r="K36" i="4"/>
  <c r="L36" i="4"/>
  <c r="M36" i="4"/>
  <c r="N36" i="4"/>
  <c r="O36" i="4"/>
  <c r="P36" i="4"/>
  <c r="J37" i="4"/>
  <c r="K37" i="4"/>
  <c r="L37" i="4"/>
  <c r="M37" i="4"/>
  <c r="N37" i="4"/>
  <c r="O37" i="4"/>
  <c r="P37" i="4"/>
  <c r="J38" i="4"/>
  <c r="K38" i="4"/>
  <c r="L38" i="4"/>
  <c r="M38" i="4"/>
  <c r="N38" i="4"/>
  <c r="O38" i="4"/>
  <c r="P38" i="4"/>
  <c r="J39" i="4"/>
  <c r="K39" i="4"/>
  <c r="L39" i="4"/>
  <c r="M39" i="4"/>
  <c r="N39" i="4"/>
  <c r="O39" i="4"/>
  <c r="P39" i="4"/>
  <c r="J40" i="4"/>
  <c r="K40" i="4"/>
  <c r="L40" i="4"/>
  <c r="M40" i="4"/>
  <c r="N40" i="4"/>
  <c r="O40" i="4"/>
  <c r="P40" i="4"/>
  <c r="J41" i="4"/>
  <c r="K41" i="4"/>
  <c r="L41" i="4"/>
  <c r="M41" i="4"/>
  <c r="N41" i="4"/>
  <c r="O41" i="4"/>
  <c r="P41" i="4"/>
  <c r="J42" i="4"/>
  <c r="K42" i="4"/>
  <c r="L42" i="4"/>
  <c r="M42" i="4"/>
  <c r="N42" i="4"/>
  <c r="O42" i="4"/>
  <c r="P42" i="4"/>
  <c r="J43" i="4"/>
  <c r="K43" i="4"/>
  <c r="L43" i="4"/>
  <c r="M43" i="4"/>
  <c r="N43" i="4"/>
  <c r="O43" i="4"/>
  <c r="P43" i="4"/>
  <c r="I40" i="4"/>
  <c r="I41" i="4"/>
  <c r="I42" i="4"/>
  <c r="I43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2" i="4"/>
  <c r="C35" i="4"/>
  <c r="D35" i="4"/>
  <c r="E35" i="4"/>
  <c r="F35" i="4"/>
  <c r="G35" i="4"/>
  <c r="C3" i="4"/>
  <c r="D3" i="4"/>
  <c r="E3" i="4"/>
  <c r="F3" i="4"/>
  <c r="G3" i="4"/>
  <c r="C4" i="4"/>
  <c r="D4" i="4"/>
  <c r="E4" i="4"/>
  <c r="F4" i="4"/>
  <c r="G4" i="4"/>
  <c r="C5" i="4"/>
  <c r="D5" i="4"/>
  <c r="E5" i="4"/>
  <c r="F5" i="4"/>
  <c r="G5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C20" i="4"/>
  <c r="D20" i="4"/>
  <c r="E20" i="4"/>
  <c r="F20" i="4"/>
  <c r="G20" i="4"/>
  <c r="C21" i="4"/>
  <c r="D21" i="4"/>
  <c r="E21" i="4"/>
  <c r="F21" i="4"/>
  <c r="G21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C28" i="4"/>
  <c r="D28" i="4"/>
  <c r="E28" i="4"/>
  <c r="F28" i="4"/>
  <c r="G28" i="4"/>
  <c r="C29" i="4"/>
  <c r="D29" i="4"/>
  <c r="E29" i="4"/>
  <c r="F29" i="4"/>
  <c r="G29" i="4"/>
  <c r="C30" i="4"/>
  <c r="D30" i="4"/>
  <c r="E30" i="4"/>
  <c r="F30" i="4"/>
  <c r="G30" i="4"/>
  <c r="C31" i="4"/>
  <c r="D31" i="4"/>
  <c r="E31" i="4"/>
  <c r="F31" i="4"/>
  <c r="G31" i="4"/>
  <c r="C32" i="4"/>
  <c r="D32" i="4"/>
  <c r="E32" i="4"/>
  <c r="F32" i="4"/>
  <c r="G32" i="4"/>
  <c r="C33" i="4"/>
  <c r="D33" i="4"/>
  <c r="E33" i="4"/>
  <c r="F33" i="4"/>
  <c r="G33" i="4"/>
  <c r="C34" i="4"/>
  <c r="D34" i="4"/>
  <c r="E34" i="4"/>
  <c r="F34" i="4"/>
  <c r="G34" i="4"/>
  <c r="N1" i="4"/>
  <c r="O1" i="4"/>
  <c r="P1" i="4"/>
  <c r="K1" i="4"/>
  <c r="L1" i="4"/>
  <c r="M1" i="4"/>
  <c r="J1" i="4"/>
  <c r="F1" i="4"/>
  <c r="G1" i="4"/>
  <c r="D1" i="4"/>
  <c r="E1" i="4"/>
  <c r="C1" i="4"/>
  <c r="A3" i="4"/>
  <c r="A4" i="4"/>
  <c r="A5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2" i="4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8" i="3"/>
  <c r="H8" i="3"/>
  <c r="G8" i="3"/>
  <c r="F8" i="3"/>
  <c r="E8" i="3"/>
  <c r="D8" i="3"/>
  <c r="C8" i="3"/>
  <c r="D65" i="2"/>
  <c r="A58" i="2"/>
  <c r="N20" i="1"/>
  <c r="D57" i="2"/>
  <c r="D59" i="2" s="1"/>
  <c r="D60" i="2" s="1"/>
  <c r="D61" i="2" s="1"/>
  <c r="E61" i="2" s="1"/>
  <c r="D62" i="2" s="1"/>
  <c r="D53" i="2"/>
  <c r="D52" i="2"/>
  <c r="D54" i="2" s="1"/>
  <c r="D58" i="2" s="1"/>
  <c r="D51" i="2"/>
  <c r="B53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29" i="2"/>
  <c r="O30" i="2"/>
  <c r="O34" i="2"/>
  <c r="O35" i="2"/>
  <c r="O36" i="2"/>
  <c r="O37" i="2"/>
  <c r="O38" i="2"/>
  <c r="O39" i="2"/>
  <c r="O40" i="2"/>
  <c r="O41" i="2"/>
  <c r="O42" i="2"/>
  <c r="O43" i="2"/>
  <c r="O44" i="2"/>
  <c r="E63" i="2" l="1"/>
  <c r="Q43" i="4"/>
  <c r="B40" i="4"/>
  <c r="O15" i="2"/>
  <c r="G9" i="2"/>
  <c r="G16" i="2" s="1"/>
  <c r="E5" i="2"/>
  <c r="E11" i="2" s="1"/>
  <c r="E18" i="2" s="1"/>
  <c r="A10" i="2"/>
  <c r="A17" i="2" s="1"/>
  <c r="A11" i="2"/>
  <c r="A18" i="2" s="1"/>
  <c r="A12" i="2"/>
  <c r="A19" i="2" s="1"/>
  <c r="A9" i="2"/>
  <c r="A16" i="2" s="1"/>
  <c r="B7" i="2"/>
  <c r="D3" i="2"/>
  <c r="D9" i="2" s="1"/>
  <c r="D16" i="2" s="1"/>
  <c r="E3" i="2"/>
  <c r="E9" i="2" s="1"/>
  <c r="E16" i="2" s="1"/>
  <c r="F3" i="2"/>
  <c r="F9" i="2" s="1"/>
  <c r="F16" i="2" s="1"/>
  <c r="G3" i="2"/>
  <c r="H3" i="2"/>
  <c r="I3" i="2"/>
  <c r="I9" i="2" s="1"/>
  <c r="I16" i="2" s="1"/>
  <c r="J3" i="2"/>
  <c r="K3" i="2"/>
  <c r="K9" i="2" s="1"/>
  <c r="K16" i="2" s="1"/>
  <c r="L3" i="2"/>
  <c r="M3" i="2"/>
  <c r="M9" i="2" s="1"/>
  <c r="M16" i="2" s="1"/>
  <c r="N3" i="2"/>
  <c r="N9" i="2" s="1"/>
  <c r="N16" i="2" s="1"/>
  <c r="D4" i="2"/>
  <c r="D10" i="2" s="1"/>
  <c r="D17" i="2" s="1"/>
  <c r="E4" i="2"/>
  <c r="F4" i="2"/>
  <c r="F10" i="2" s="1"/>
  <c r="F17" i="2" s="1"/>
  <c r="G4" i="2"/>
  <c r="G10" i="2" s="1"/>
  <c r="G17" i="2" s="1"/>
  <c r="H4" i="2"/>
  <c r="H10" i="2" s="1"/>
  <c r="H17" i="2" s="1"/>
  <c r="I4" i="2"/>
  <c r="I10" i="2" s="1"/>
  <c r="I17" i="2" s="1"/>
  <c r="J4" i="2"/>
  <c r="J10" i="2" s="1"/>
  <c r="J17" i="2" s="1"/>
  <c r="K4" i="2"/>
  <c r="K10" i="2" s="1"/>
  <c r="K17" i="2" s="1"/>
  <c r="L4" i="2"/>
  <c r="L10" i="2" s="1"/>
  <c r="L17" i="2" s="1"/>
  <c r="M4" i="2"/>
  <c r="M10" i="2" s="1"/>
  <c r="M17" i="2" s="1"/>
  <c r="N4" i="2"/>
  <c r="N10" i="2" s="1"/>
  <c r="N17" i="2" s="1"/>
  <c r="D5" i="2"/>
  <c r="D11" i="2" s="1"/>
  <c r="D18" i="2" s="1"/>
  <c r="F5" i="2"/>
  <c r="F11" i="2" s="1"/>
  <c r="F18" i="2" s="1"/>
  <c r="G5" i="2"/>
  <c r="G11" i="2" s="1"/>
  <c r="G18" i="2" s="1"/>
  <c r="H5" i="2"/>
  <c r="H11" i="2" s="1"/>
  <c r="H18" i="2" s="1"/>
  <c r="I5" i="2"/>
  <c r="I11" i="2" s="1"/>
  <c r="I18" i="2" s="1"/>
  <c r="J5" i="2"/>
  <c r="J11" i="2" s="1"/>
  <c r="J18" i="2" s="1"/>
  <c r="K5" i="2"/>
  <c r="K11" i="2" s="1"/>
  <c r="K18" i="2" s="1"/>
  <c r="L5" i="2"/>
  <c r="L11" i="2" s="1"/>
  <c r="L18" i="2" s="1"/>
  <c r="M5" i="2"/>
  <c r="M11" i="2" s="1"/>
  <c r="M18" i="2" s="1"/>
  <c r="N5" i="2"/>
  <c r="N11" i="2" s="1"/>
  <c r="N18" i="2" s="1"/>
  <c r="D6" i="2"/>
  <c r="D12" i="2" s="1"/>
  <c r="D19" i="2" s="1"/>
  <c r="E6" i="2"/>
  <c r="E12" i="2" s="1"/>
  <c r="E19" i="2" s="1"/>
  <c r="F6" i="2"/>
  <c r="F12" i="2" s="1"/>
  <c r="G6" i="2"/>
  <c r="G12" i="2" s="1"/>
  <c r="G19" i="2" s="1"/>
  <c r="H6" i="2"/>
  <c r="H12" i="2" s="1"/>
  <c r="H19" i="2" s="1"/>
  <c r="I6" i="2"/>
  <c r="I12" i="2" s="1"/>
  <c r="I19" i="2" s="1"/>
  <c r="J6" i="2"/>
  <c r="J12" i="2" s="1"/>
  <c r="J19" i="2" s="1"/>
  <c r="K6" i="2"/>
  <c r="K12" i="2" s="1"/>
  <c r="K19" i="2" s="1"/>
  <c r="L6" i="2"/>
  <c r="L12" i="2" s="1"/>
  <c r="L19" i="2" s="1"/>
  <c r="M6" i="2"/>
  <c r="M12" i="2" s="1"/>
  <c r="M19" i="2" s="1"/>
  <c r="N6" i="2"/>
  <c r="N12" i="2" s="1"/>
  <c r="N19" i="2" s="1"/>
  <c r="C4" i="2"/>
  <c r="C10" i="2" s="1"/>
  <c r="C17" i="2" s="1"/>
  <c r="C5" i="2"/>
  <c r="C11" i="2" s="1"/>
  <c r="C18" i="2" s="1"/>
  <c r="C6" i="2"/>
  <c r="C12" i="2" s="1"/>
  <c r="C19" i="2" s="1"/>
  <c r="C3" i="2"/>
  <c r="E65" i="2" l="1"/>
  <c r="O4" i="2"/>
  <c r="D20" i="2"/>
  <c r="D22" i="2" s="1"/>
  <c r="D23" i="2" s="1"/>
  <c r="D25" i="2" s="1"/>
  <c r="L7" i="2"/>
  <c r="L9" i="2"/>
  <c r="L16" i="2" s="1"/>
  <c r="L20" i="2" s="1"/>
  <c r="L22" i="2" s="1"/>
  <c r="L23" i="2" s="1"/>
  <c r="L25" i="2" s="1"/>
  <c r="O3" i="2"/>
  <c r="J7" i="2"/>
  <c r="H7" i="2"/>
  <c r="E10" i="2"/>
  <c r="E17" i="2" s="1"/>
  <c r="E20" i="2" s="1"/>
  <c r="E22" i="2" s="1"/>
  <c r="E23" i="2" s="1"/>
  <c r="E25" i="2" s="1"/>
  <c r="H9" i="2"/>
  <c r="H16" i="2" s="1"/>
  <c r="H20" i="2" s="1"/>
  <c r="H22" i="2" s="1"/>
  <c r="H23" i="2" s="1"/>
  <c r="H25" i="2" s="1"/>
  <c r="F13" i="2"/>
  <c r="F19" i="2"/>
  <c r="F20" i="2" s="1"/>
  <c r="N20" i="2"/>
  <c r="K20" i="2"/>
  <c r="K22" i="2" s="1"/>
  <c r="K23" i="2" s="1"/>
  <c r="K25" i="2" s="1"/>
  <c r="G20" i="2"/>
  <c r="G22" i="2" s="1"/>
  <c r="G23" i="2" s="1"/>
  <c r="G25" i="2" s="1"/>
  <c r="M20" i="2"/>
  <c r="M22" i="2" s="1"/>
  <c r="M23" i="2" s="1"/>
  <c r="M25" i="2" s="1"/>
  <c r="I20" i="2"/>
  <c r="I22" i="2" s="1"/>
  <c r="I23" i="2" s="1"/>
  <c r="I25" i="2" s="1"/>
  <c r="O6" i="2"/>
  <c r="N7" i="2"/>
  <c r="F7" i="2"/>
  <c r="C9" i="2"/>
  <c r="C16" i="2" s="1"/>
  <c r="C20" i="2" s="1"/>
  <c r="C22" i="2" s="1"/>
  <c r="J9" i="2"/>
  <c r="J16" i="2" s="1"/>
  <c r="J20" i="2" s="1"/>
  <c r="K7" i="2"/>
  <c r="G7" i="2"/>
  <c r="C7" i="2"/>
  <c r="O5" i="2"/>
  <c r="M7" i="2"/>
  <c r="I7" i="2"/>
  <c r="E7" i="2"/>
  <c r="D7" i="2"/>
  <c r="D13" i="2"/>
  <c r="K13" i="2"/>
  <c r="G13" i="2"/>
  <c r="M13" i="2"/>
  <c r="N13" i="2"/>
  <c r="I13" i="2"/>
  <c r="O11" i="2"/>
  <c r="O18" i="2" s="1"/>
  <c r="O12" i="2"/>
  <c r="O19" i="2" s="1"/>
  <c r="N3" i="1"/>
  <c r="N4" i="1"/>
  <c r="N5" i="1"/>
  <c r="N8" i="1"/>
  <c r="N9" i="1"/>
  <c r="N10" i="1"/>
  <c r="N11" i="1"/>
  <c r="O11" i="1" s="1"/>
  <c r="N12" i="1"/>
  <c r="N13" i="1"/>
  <c r="N14" i="1"/>
  <c r="N15" i="1"/>
  <c r="N16" i="1"/>
  <c r="N17" i="1"/>
  <c r="N18" i="1"/>
  <c r="N22" i="1"/>
  <c r="O22" i="1" s="1"/>
  <c r="N23" i="1"/>
  <c r="N24" i="1"/>
  <c r="N25" i="1"/>
  <c r="N26" i="1"/>
  <c r="O26" i="1" s="1"/>
  <c r="N27" i="1"/>
  <c r="O27" i="1" s="1"/>
  <c r="N28" i="1"/>
  <c r="N29" i="1"/>
  <c r="O29" i="1" s="1"/>
  <c r="N30" i="1"/>
  <c r="O30" i="1" s="1"/>
  <c r="N31" i="1"/>
  <c r="N32" i="1"/>
  <c r="N33" i="1"/>
  <c r="B33" i="1"/>
  <c r="C19" i="1"/>
  <c r="C20" i="1" s="1"/>
  <c r="C34" i="1" s="1"/>
  <c r="D19" i="1"/>
  <c r="D20" i="1" s="1"/>
  <c r="D34" i="1" s="1"/>
  <c r="E19" i="1"/>
  <c r="E20" i="1" s="1"/>
  <c r="E34" i="1" s="1"/>
  <c r="F19" i="1"/>
  <c r="F20" i="1" s="1"/>
  <c r="F34" i="1" s="1"/>
  <c r="G19" i="1"/>
  <c r="G20" i="1" s="1"/>
  <c r="G34" i="1" s="1"/>
  <c r="H19" i="1"/>
  <c r="H20" i="1" s="1"/>
  <c r="H34" i="1" s="1"/>
  <c r="I19" i="1"/>
  <c r="I20" i="1" s="1"/>
  <c r="I34" i="1" s="1"/>
  <c r="J19" i="1"/>
  <c r="J20" i="1" s="1"/>
  <c r="J34" i="1" s="1"/>
  <c r="K19" i="1"/>
  <c r="K20" i="1" s="1"/>
  <c r="K34" i="1" s="1"/>
  <c r="L19" i="1"/>
  <c r="L20" i="1" s="1"/>
  <c r="L34" i="1" s="1"/>
  <c r="M19" i="1"/>
  <c r="M20" i="1" s="1"/>
  <c r="M34" i="1" s="1"/>
  <c r="M6" i="1"/>
  <c r="C6" i="1"/>
  <c r="D6" i="1"/>
  <c r="E6" i="1"/>
  <c r="F6" i="1"/>
  <c r="G6" i="1"/>
  <c r="H6" i="1"/>
  <c r="I6" i="1"/>
  <c r="J6" i="1"/>
  <c r="K6" i="1"/>
  <c r="L6" i="1"/>
  <c r="B6" i="1"/>
  <c r="N6" i="1" s="1"/>
  <c r="B19" i="1"/>
  <c r="B20" i="1" s="1"/>
  <c r="O9" i="2" l="1"/>
  <c r="O16" i="2" s="1"/>
  <c r="E33" i="2"/>
  <c r="E32" i="2"/>
  <c r="E31" i="2"/>
  <c r="E45" i="2" s="1"/>
  <c r="E28" i="2"/>
  <c r="L32" i="2"/>
  <c r="L31" i="2"/>
  <c r="L33" i="2"/>
  <c r="L28" i="2"/>
  <c r="G28" i="2"/>
  <c r="G33" i="2"/>
  <c r="G32" i="2"/>
  <c r="G31" i="2"/>
  <c r="I28" i="2"/>
  <c r="I33" i="2"/>
  <c r="I32" i="2"/>
  <c r="I31" i="2"/>
  <c r="K33" i="2"/>
  <c r="K28" i="2"/>
  <c r="K32" i="2"/>
  <c r="K31" i="2"/>
  <c r="K45" i="2" s="1"/>
  <c r="D32" i="2"/>
  <c r="D31" i="2"/>
  <c r="D33" i="2"/>
  <c r="D28" i="2"/>
  <c r="O10" i="2"/>
  <c r="O17" i="2" s="1"/>
  <c r="M28" i="2"/>
  <c r="M33" i="2"/>
  <c r="M32" i="2"/>
  <c r="M31" i="2"/>
  <c r="H32" i="2"/>
  <c r="H31" i="2"/>
  <c r="H45" i="2" s="1"/>
  <c r="H28" i="2"/>
  <c r="H33" i="2"/>
  <c r="H13" i="2"/>
  <c r="O7" i="2"/>
  <c r="E13" i="2"/>
  <c r="J13" i="2"/>
  <c r="L13" i="2"/>
  <c r="O20" i="2"/>
  <c r="F22" i="2"/>
  <c r="F23" i="2" s="1"/>
  <c r="C23" i="2"/>
  <c r="C13" i="2"/>
  <c r="N22" i="2"/>
  <c r="N23" i="2" s="1"/>
  <c r="J22" i="2"/>
  <c r="J23" i="2" s="1"/>
  <c r="J25" i="2" s="1"/>
  <c r="O13" i="2"/>
  <c r="B34" i="1"/>
  <c r="N34" i="1" s="1"/>
  <c r="N19" i="1"/>
  <c r="O33" i="1"/>
  <c r="L45" i="2" l="1"/>
  <c r="D45" i="2"/>
  <c r="M45" i="2"/>
  <c r="I45" i="2"/>
  <c r="G45" i="2"/>
  <c r="J33" i="2"/>
  <c r="J28" i="2"/>
  <c r="J32" i="2"/>
  <c r="J31" i="2"/>
  <c r="J45" i="2" s="1"/>
  <c r="F25" i="2"/>
  <c r="C25" i="2"/>
  <c r="O23" i="2"/>
  <c r="N25" i="2"/>
  <c r="O22" i="2"/>
  <c r="C33" i="2" l="1"/>
  <c r="C32" i="2"/>
  <c r="C31" i="2"/>
  <c r="C45" i="2" s="1"/>
  <c r="C28" i="2"/>
  <c r="O28" i="2" s="1"/>
  <c r="N33" i="2"/>
  <c r="N28" i="2"/>
  <c r="N32" i="2"/>
  <c r="N31" i="2"/>
  <c r="N45" i="2" s="1"/>
  <c r="F33" i="2"/>
  <c r="F28" i="2"/>
  <c r="F32" i="2"/>
  <c r="F31" i="2"/>
  <c r="F45" i="2" s="1"/>
  <c r="O25" i="2"/>
  <c r="O31" i="2" l="1"/>
  <c r="O32" i="2"/>
  <c r="O33" i="2"/>
  <c r="O45" i="2" l="1"/>
</calcChain>
</file>

<file path=xl/sharedStrings.xml><?xml version="1.0" encoding="utf-8"?>
<sst xmlns="http://schemas.openxmlformats.org/spreadsheetml/2006/main" count="162" uniqueCount="107">
  <si>
    <r>
      <rPr>
        <sz val="9.5"/>
        <rFont val="Times New Roman"/>
        <family val="1"/>
      </rPr>
      <t>Vacation Rentals</t>
    </r>
  </si>
  <si>
    <r>
      <rPr>
        <sz val="9.5"/>
        <rFont val="Times New Roman"/>
        <family val="1"/>
      </rPr>
      <t>Misc Income</t>
    </r>
  </si>
  <si>
    <r>
      <rPr>
        <sz val="9.5"/>
        <rFont val="Times New Roman"/>
        <family val="1"/>
      </rPr>
      <t>Resort Fees - owner</t>
    </r>
  </si>
  <si>
    <r>
      <rPr>
        <sz val="9.5"/>
        <rFont val="Times New Roman"/>
        <family val="1"/>
      </rPr>
      <t>Credit Card Fees</t>
    </r>
  </si>
  <si>
    <r>
      <rPr>
        <sz val="9.5"/>
        <rFont val="Times New Roman"/>
        <family val="1"/>
      </rPr>
      <t>Supplies</t>
    </r>
  </si>
  <si>
    <r>
      <rPr>
        <sz val="9.5"/>
        <rFont val="Times New Roman"/>
        <family val="1"/>
      </rPr>
      <t>Maintenance Expense</t>
    </r>
  </si>
  <si>
    <r>
      <rPr>
        <sz val="9.5"/>
        <rFont val="Times New Roman"/>
        <family val="1"/>
      </rPr>
      <t>TV connection - Guests</t>
    </r>
  </si>
  <si>
    <r>
      <rPr>
        <sz val="9.5"/>
        <rFont val="Times New Roman"/>
        <family val="1"/>
      </rPr>
      <t>Labor - Seguin Travel</t>
    </r>
  </si>
  <si>
    <r>
      <rPr>
        <sz val="9.5"/>
        <rFont val="Times New Roman"/>
        <family val="1"/>
      </rPr>
      <t>Management Fee - Seguin Travel</t>
    </r>
  </si>
  <si>
    <r>
      <rPr>
        <sz val="9.5"/>
        <rFont val="Times New Roman"/>
        <family val="1"/>
      </rPr>
      <t>Advertising Expense</t>
    </r>
  </si>
  <si>
    <r>
      <rPr>
        <sz val="9.5"/>
        <rFont val="Times New Roman"/>
        <family val="1"/>
      </rPr>
      <t>Utilities - Pest</t>
    </r>
  </si>
  <si>
    <r>
      <rPr>
        <sz val="9.5"/>
        <rFont val="Times New Roman"/>
        <family val="1"/>
      </rPr>
      <t>Utilities - Electric</t>
    </r>
  </si>
  <si>
    <r>
      <rPr>
        <sz val="9.5"/>
        <rFont val="Times New Roman"/>
        <family val="1"/>
      </rPr>
      <t>Utilities - Sewer</t>
    </r>
  </si>
  <si>
    <r>
      <rPr>
        <sz val="9.5"/>
        <rFont val="Times New Roman"/>
        <family val="1"/>
      </rPr>
      <t>Utilities - Water</t>
    </r>
  </si>
  <si>
    <r>
      <rPr>
        <sz val="9.5"/>
        <rFont val="Times New Roman"/>
        <family val="1"/>
      </rPr>
      <t>Bank Charges</t>
    </r>
  </si>
  <si>
    <r>
      <rPr>
        <sz val="9.5"/>
        <rFont val="Times New Roman"/>
        <family val="1"/>
      </rPr>
      <t>Insurance Expense-Prop</t>
    </r>
  </si>
  <si>
    <r>
      <rPr>
        <sz val="9.5"/>
        <rFont val="Times New Roman"/>
        <family val="1"/>
      </rPr>
      <t>Insurance Expense - Flood</t>
    </r>
  </si>
  <si>
    <r>
      <rPr>
        <sz val="9.5"/>
        <rFont val="Times New Roman"/>
        <family val="1"/>
      </rPr>
      <t>Insurance Expense - GL</t>
    </r>
  </si>
  <si>
    <r>
      <rPr>
        <sz val="9.5"/>
        <rFont val="Times New Roman"/>
        <family val="1"/>
      </rPr>
      <t>Interest Expense-other</t>
    </r>
  </si>
  <si>
    <r>
      <rPr>
        <sz val="9.5"/>
        <rFont val="Times New Roman"/>
        <family val="1"/>
      </rPr>
      <t>Loan - Interest Expense</t>
    </r>
  </si>
  <si>
    <r>
      <rPr>
        <sz val="9.5"/>
        <rFont val="Times New Roman"/>
        <family val="1"/>
      </rPr>
      <t>Licenses Expense</t>
    </r>
  </si>
  <si>
    <r>
      <rPr>
        <sz val="9.5"/>
        <rFont val="Times New Roman"/>
        <family val="1"/>
      </rPr>
      <t>Management Fees - Asset</t>
    </r>
  </si>
  <si>
    <r>
      <rPr>
        <sz val="9.5"/>
        <rFont val="Times New Roman"/>
        <family val="1"/>
      </rPr>
      <t>Miscellaneous</t>
    </r>
  </si>
  <si>
    <r>
      <rPr>
        <sz val="9.5"/>
        <rFont val="Times New Roman"/>
        <family val="1"/>
      </rPr>
      <t>Property Tax Expense</t>
    </r>
  </si>
  <si>
    <r>
      <rPr>
        <sz val="9.5"/>
        <rFont val="Times New Roman"/>
        <family val="1"/>
      </rPr>
      <t>Bus Personal Tax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</si>
  <si>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</si>
  <si>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</si>
  <si>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</si>
  <si>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</si>
  <si>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</si>
  <si>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</si>
  <si>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</si>
  <si>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</si>
  <si>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</si>
  <si>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</si>
  <si>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</si>
  <si>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</si>
  <si>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</si>
  <si>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 Revenues</t>
  </si>
  <si>
    <t>Total Cost of Sales</t>
  </si>
  <si>
    <t>Gross Profit</t>
  </si>
  <si>
    <t>Total Expenses</t>
  </si>
  <si>
    <t>Net Income</t>
  </si>
  <si>
    <t>CAPEX</t>
  </si>
  <si>
    <t>Revenues</t>
  </si>
  <si>
    <t>Cost of Sales</t>
  </si>
  <si>
    <t>Expenses</t>
  </si>
  <si>
    <t>Cabins</t>
  </si>
  <si>
    <t>Teepees</t>
  </si>
  <si>
    <t>Treehouses</t>
  </si>
  <si>
    <t>Homestead Haus</t>
  </si>
  <si>
    <t>Net Revenue</t>
  </si>
  <si>
    <t>Ancillary Income</t>
  </si>
  <si>
    <t>COGS</t>
  </si>
  <si>
    <t>Total Revenue</t>
  </si>
  <si>
    <t>GROSS INCOME</t>
  </si>
  <si>
    <t>Credit Card Fees</t>
  </si>
  <si>
    <t>Supplies</t>
  </si>
  <si>
    <t>Maintenance Expense</t>
  </si>
  <si>
    <t>Advertising Expense</t>
  </si>
  <si>
    <t>Utilities - Pest</t>
  </si>
  <si>
    <t>Utilities - Electric</t>
  </si>
  <si>
    <t>Utilities - Sewer</t>
  </si>
  <si>
    <t>Utilities - Water</t>
  </si>
  <si>
    <t>Labor</t>
  </si>
  <si>
    <t>Management Fee</t>
  </si>
  <si>
    <t>NOI</t>
  </si>
  <si>
    <t>Hot Tubs</t>
  </si>
  <si>
    <t>Store</t>
  </si>
  <si>
    <t>Canvas - Teepees</t>
  </si>
  <si>
    <t>Sale Price</t>
  </si>
  <si>
    <t>Closing Costs</t>
  </si>
  <si>
    <t>Cap Rate</t>
  </si>
  <si>
    <t>Investment Performance</t>
  </si>
  <si>
    <t>YEAR 1 CAPEX</t>
  </si>
  <si>
    <t>LTV</t>
  </si>
  <si>
    <t>Payment</t>
  </si>
  <si>
    <t>DSCR</t>
  </si>
  <si>
    <t>Proforma Investment</t>
  </si>
  <si>
    <t>As Operated Investment</t>
  </si>
  <si>
    <r>
      <rPr>
        <sz val="9.5"/>
        <rFont val="Times New Roman"/>
        <family val="1"/>
      </rPr>
      <t>Cleaning Fees</t>
    </r>
  </si>
  <si>
    <r>
      <rPr>
        <sz val="9.5"/>
        <rFont val="Times New Roman"/>
        <family val="1"/>
      </rPr>
      <t>Misc Fees</t>
    </r>
  </si>
  <si>
    <r>
      <rPr>
        <sz val="9.5"/>
        <rFont val="Times New Roman"/>
        <family val="1"/>
      </rPr>
      <t>Revenue - Dec '22</t>
    </r>
  </si>
  <si>
    <r>
      <rPr>
        <sz val="9.5"/>
        <rFont val="Times New Roman"/>
        <family val="1"/>
      </rPr>
      <t>Total Revenues</t>
    </r>
  </si>
  <si>
    <r>
      <rPr>
        <sz val="9.5"/>
        <rFont val="Times New Roman"/>
        <family val="1"/>
      </rPr>
      <t>Hotel - Tax</t>
    </r>
  </si>
  <si>
    <r>
      <rPr>
        <sz val="9.5"/>
        <rFont val="Times New Roman"/>
        <family val="1"/>
      </rPr>
      <t>Guest Refund</t>
    </r>
  </si>
  <si>
    <r>
      <rPr>
        <sz val="9.5"/>
        <rFont val="Times New Roman"/>
        <family val="1"/>
      </rPr>
      <t>Propane</t>
    </r>
  </si>
  <si>
    <r>
      <rPr>
        <sz val="9.5"/>
        <rFont val="Times New Roman"/>
        <family val="1"/>
      </rPr>
      <t>Cleaning - Contractor</t>
    </r>
  </si>
  <si>
    <r>
      <rPr>
        <sz val="9.5"/>
        <rFont val="Times New Roman"/>
        <family val="1"/>
      </rPr>
      <t>After hours  - Contractor</t>
    </r>
  </si>
  <si>
    <r>
      <rPr>
        <sz val="9.5"/>
        <rFont val="Times New Roman"/>
        <family val="1"/>
      </rPr>
      <t>Landscaping</t>
    </r>
  </si>
  <si>
    <r>
      <rPr>
        <sz val="9.5"/>
        <rFont val="Times New Roman"/>
        <family val="1"/>
      </rPr>
      <t>Maintenance - Septic</t>
    </r>
  </si>
  <si>
    <r>
      <rPr>
        <sz val="9.5"/>
        <rFont val="Times New Roman"/>
        <family val="1"/>
      </rPr>
      <t>Labor - Outside Contractor</t>
    </r>
  </si>
  <si>
    <r>
      <rPr>
        <sz val="9.5"/>
        <rFont val="Times New Roman"/>
        <family val="1"/>
      </rPr>
      <t>Management Fee - BTM</t>
    </r>
  </si>
  <si>
    <r>
      <rPr>
        <sz val="9.5"/>
        <rFont val="Times New Roman"/>
        <family val="1"/>
      </rPr>
      <t>Management Fee - Horizon 12.22</t>
    </r>
  </si>
  <si>
    <r>
      <rPr>
        <sz val="9.5"/>
        <rFont val="Times New Roman"/>
        <family val="1"/>
      </rPr>
      <t>Utilities - Waste/Garbage</t>
    </r>
  </si>
  <si>
    <r>
      <rPr>
        <sz val="9.5"/>
        <rFont val="Times New Roman"/>
        <family val="1"/>
      </rPr>
      <t>Total Cost of Sales</t>
    </r>
  </si>
  <si>
    <r>
      <rPr>
        <sz val="9.5"/>
        <rFont val="Times New Roman"/>
        <family val="1"/>
      </rPr>
      <t>Gross Profit</t>
    </r>
  </si>
  <si>
    <r>
      <rPr>
        <sz val="9.5"/>
        <rFont val="Times New Roman"/>
        <family val="1"/>
      </rPr>
      <t>Expenses</t>
    </r>
  </si>
  <si>
    <r>
      <rPr>
        <sz val="9.5"/>
        <rFont val="Times New Roman"/>
        <family val="1"/>
      </rPr>
      <t>Interest Expense-Refi</t>
    </r>
  </si>
  <si>
    <r>
      <rPr>
        <sz val="9.5"/>
        <rFont val="Times New Roman"/>
        <family val="1"/>
      </rPr>
      <t>Interest - Vera</t>
    </r>
  </si>
  <si>
    <r>
      <rPr>
        <sz val="9.5"/>
        <rFont val="Times New Roman"/>
        <family val="1"/>
      </rPr>
      <t>Interest - LOC</t>
    </r>
  </si>
  <si>
    <r>
      <rPr>
        <sz val="9.5"/>
        <rFont val="Times New Roman"/>
        <family val="1"/>
      </rPr>
      <t>Legal and Professional Expense</t>
    </r>
  </si>
  <si>
    <r>
      <rPr>
        <sz val="9.5"/>
        <rFont val="Times New Roman"/>
        <family val="1"/>
      </rPr>
      <t>Total Expenses</t>
    </r>
  </si>
  <si>
    <r>
      <rPr>
        <sz val="9.5"/>
        <rFont val="Times New Roman"/>
        <family val="1"/>
      </rPr>
      <t>Net Income</t>
    </r>
  </si>
  <si>
    <t>Revenue</t>
  </si>
  <si>
    <t>T12 NOI (adjusted)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</si>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</sst>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0" x14ac:knownFonts="1">
    <font>
      <sz val="10"/>
      <color rgb="FF000000"/>
      <name val="Times New Roman"/>
      <charset val="204"/>
    </font>
    <font>
      <sz val="9.5"/>
      <name val="Times New Roman"/>
      <family val="1"/>
    </font>
    <font>
      <sz val="9.5"/>
      <color rgb="FF000000"/>
      <name val="Times New Roman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b/>
      <sz val="9.5"/>
      <name val="Times New Roman"/>
      <family val="1"/>
    </font>
    <font>
      <b/>
      <sz val="9.5"/>
      <color rgb="FF000000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horizontal="right" vertical="top" shrinkToFit="1"/>
    </xf>
    <xf numFmtId="164" fontId="5" fillId="0" borderId="0" xfId="1" applyNumberFormat="1" applyFont="1" applyFill="1" applyBorder="1" applyAlignment="1">
      <alignment horizontal="left" vertical="top"/>
    </xf>
    <xf numFmtId="164" fontId="7" fillId="0" borderId="0" xfId="1" applyNumberFormat="1" applyFont="1" applyFill="1" applyBorder="1" applyAlignment="1">
      <alignment horizontal="right" vertical="top" shrinkToFit="1"/>
    </xf>
    <xf numFmtId="164" fontId="0" fillId="0" borderId="0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horizontal="right" shrinkToFit="1"/>
    </xf>
    <xf numFmtId="164" fontId="2" fillId="0" borderId="0" xfId="1" applyNumberFormat="1" applyFont="1" applyFill="1" applyBorder="1" applyAlignment="1">
      <alignment horizontal="right" vertical="center" shrinkToFit="1"/>
    </xf>
    <xf numFmtId="164" fontId="0" fillId="0" borderId="0" xfId="0" applyNumberFormat="1" applyFill="1" applyBorder="1" applyAlignment="1">
      <alignment horizontal="left" vertical="top"/>
    </xf>
    <xf numFmtId="10" fontId="0" fillId="0" borderId="0" xfId="2" applyNumberFormat="1" applyFont="1" applyFill="1" applyBorder="1" applyAlignment="1">
      <alignment horizontal="left" vertical="top"/>
    </xf>
    <xf numFmtId="9" fontId="0" fillId="0" borderId="0" xfId="2" applyFont="1" applyFill="1" applyBorder="1" applyAlignment="1">
      <alignment horizontal="left" vertical="top"/>
    </xf>
    <xf numFmtId="164" fontId="2" fillId="2" borderId="0" xfId="1" applyNumberFormat="1" applyFont="1" applyFill="1" applyBorder="1" applyAlignment="1">
      <alignment horizontal="right" vertical="top" shrinkToFit="1"/>
    </xf>
    <xf numFmtId="164" fontId="5" fillId="2" borderId="0" xfId="1" applyNumberFormat="1" applyFont="1" applyFill="1" applyBorder="1" applyAlignment="1">
      <alignment horizontal="left" vertical="top"/>
    </xf>
    <xf numFmtId="164" fontId="0" fillId="2" borderId="0" xfId="0" applyNumberForma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1" fillId="2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/>
    </xf>
    <xf numFmtId="9" fontId="0" fillId="0" borderId="0" xfId="0" applyNumberFormat="1" applyFill="1" applyBorder="1" applyAlignment="1">
      <alignment horizontal="left" vertical="top"/>
    </xf>
    <xf numFmtId="9" fontId="5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0" fontId="5" fillId="0" borderId="0" xfId="2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4" fontId="0" fillId="0" borderId="0" xfId="0" applyNumberForma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8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0" fontId="6" fillId="0" borderId="0" xfId="3" applyFont="1" applyBorder="1" applyAlignment="1">
      <alignment horizontal="left" vertical="center"/>
    </xf>
    <xf numFmtId="0" fontId="3" fillId="0" borderId="0" xfId="3" applyBorder="1" applyAlignment="1">
      <alignment horizontal="left" vertical="center"/>
    </xf>
    <xf numFmtId="0" fontId="1" fillId="0" borderId="0" xfId="3" applyFont="1" applyBorder="1" applyAlignment="1">
      <alignment horizontal="left" vertical="center"/>
    </xf>
    <xf numFmtId="2" fontId="2" fillId="0" borderId="0" xfId="3" applyNumberFormat="1" applyFont="1" applyBorder="1" applyAlignment="1">
      <alignment horizontal="left" vertical="center" shrinkToFit="1"/>
    </xf>
    <xf numFmtId="165" fontId="2" fillId="0" borderId="0" xfId="3" applyNumberFormat="1" applyFont="1" applyBorder="1" applyAlignment="1">
      <alignment horizontal="left" vertical="center" shrinkToFit="1"/>
    </xf>
    <xf numFmtId="165" fontId="3" fillId="0" borderId="0" xfId="3" applyNumberFormat="1" applyBorder="1" applyAlignment="1">
      <alignment horizontal="left" vertical="center"/>
    </xf>
    <xf numFmtId="0" fontId="0" fillId="0" borderId="0" xfId="0" applyFill="1" applyBorder="1" applyAlignment="1">
      <alignment horizontal="left" vertical="top" indent="1"/>
    </xf>
    <xf numFmtId="165" fontId="0" fillId="0" borderId="0" xfId="0" applyNumberForma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</cellXfs>
  <cellStyles count="4">
    <cellStyle name="Currency" xfId="1" builtinId="4"/>
    <cellStyle name="Normal" xfId="0" builtinId="0"/>
    <cellStyle name="Normal 2" xfId="3" xr:uid="{F8BF14B3-ACA8-477E-9E04-30C2DE9D7A64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79</xdr:row>
      <xdr:rowOff>0</xdr:rowOff>
    </xdr:from>
    <xdr:ext cx="902969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983B5E70-1405-45D8-A096-1881B0C71785}"/>
            </a:ext>
          </a:extLst>
        </xdr:cNvPr>
        <xdr:cNvSpPr/>
      </xdr:nvSpPr>
      <xdr:spPr>
        <a:xfrm>
          <a:off x="3552825" y="16354425"/>
          <a:ext cx="902969" cy="0"/>
        </a:xfrm>
        <a:custGeom>
          <a:avLst/>
          <a:gdLst/>
          <a:ahLst/>
          <a:cxnLst/>
          <a:rect l="0" t="0" r="0" b="0"/>
          <a:pathLst>
            <a:path w="902969">
              <a:moveTo>
                <a:pt x="902969" y="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902969" cy="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92EEF5FA-D448-45A1-AE74-6357E8738361}"/>
            </a:ext>
          </a:extLst>
        </xdr:cNvPr>
        <xdr:cNvSpPr/>
      </xdr:nvSpPr>
      <xdr:spPr>
        <a:xfrm>
          <a:off x="4743450" y="16354425"/>
          <a:ext cx="902969" cy="0"/>
        </a:xfrm>
        <a:custGeom>
          <a:avLst/>
          <a:gdLst/>
          <a:ahLst/>
          <a:cxnLst/>
          <a:rect l="0" t="0" r="0" b="0"/>
          <a:pathLst>
            <a:path w="902969">
              <a:moveTo>
                <a:pt x="902969" y="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3</xdr:col>
      <xdr:colOff>0</xdr:colOff>
      <xdr:row>79</xdr:row>
      <xdr:rowOff>0</xdr:rowOff>
    </xdr:from>
    <xdr:ext cx="902969" cy="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BD944869-E5E3-472A-B9AA-35749787B88A}"/>
            </a:ext>
          </a:extLst>
        </xdr:cNvPr>
        <xdr:cNvSpPr/>
      </xdr:nvSpPr>
      <xdr:spPr>
        <a:xfrm>
          <a:off x="3552825" y="16630650"/>
          <a:ext cx="902969" cy="0"/>
        </a:xfrm>
        <a:custGeom>
          <a:avLst/>
          <a:gdLst/>
          <a:ahLst/>
          <a:cxnLst/>
          <a:rect l="0" t="0" r="0" b="0"/>
          <a:pathLst>
            <a:path w="902969">
              <a:moveTo>
                <a:pt x="902969" y="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902969" cy="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E3551CB2-E54E-486C-8CB8-9A1573C690BD}"/>
            </a:ext>
          </a:extLst>
        </xdr:cNvPr>
        <xdr:cNvSpPr/>
      </xdr:nvSpPr>
      <xdr:spPr>
        <a:xfrm>
          <a:off x="4743450" y="16630650"/>
          <a:ext cx="902969" cy="0"/>
        </a:xfrm>
        <a:custGeom>
          <a:avLst/>
          <a:gdLst/>
          <a:ahLst/>
          <a:cxnLst/>
          <a:rect l="0" t="0" r="0" b="0"/>
          <a:pathLst>
            <a:path w="902969">
              <a:moveTo>
                <a:pt x="902969" y="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3</xdr:col>
      <xdr:colOff>0</xdr:colOff>
      <xdr:row>79</xdr:row>
      <xdr:rowOff>0</xdr:rowOff>
    </xdr:from>
    <xdr:ext cx="902969" cy="35560"/>
    <xdr:grpSp>
      <xdr:nvGrpSpPr>
        <xdr:cNvPr id="16" name="Group 16">
          <a:extLst>
            <a:ext uri="{FF2B5EF4-FFF2-40B4-BE49-F238E27FC236}">
              <a16:creationId xmlns:a16="http://schemas.microsoft.com/office/drawing/2014/main" id="{2CE50C17-A960-4AC7-B805-DB4DC07FA223}"/>
            </a:ext>
          </a:extLst>
        </xdr:cNvPr>
        <xdr:cNvGrpSpPr/>
      </xdr:nvGrpSpPr>
      <xdr:grpSpPr>
        <a:xfrm>
          <a:off x="3305175" y="14963775"/>
          <a:ext cx="902969" cy="35560"/>
          <a:chOff x="0" y="0"/>
          <a:chExt cx="902969" cy="35560"/>
        </a:xfrm>
      </xdr:grpSpPr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004E63E6-95F7-9260-D827-1D197E06637F}"/>
              </a:ext>
            </a:extLst>
          </xdr:cNvPr>
          <xdr:cNvSpPr/>
        </xdr:nvSpPr>
        <xdr:spPr>
          <a:xfrm>
            <a:off x="0" y="0"/>
            <a:ext cx="902969" cy="0"/>
          </a:xfrm>
          <a:custGeom>
            <a:avLst/>
            <a:gdLst/>
            <a:ahLst/>
            <a:cxnLst/>
            <a:rect l="0" t="0" r="0" b="0"/>
            <a:pathLst>
              <a:path w="902969">
                <a:moveTo>
                  <a:pt x="902969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FBB62D23-8498-0071-C608-A0736B487D6D}"/>
              </a:ext>
            </a:extLst>
          </xdr:cNvPr>
          <xdr:cNvSpPr/>
        </xdr:nvSpPr>
        <xdr:spPr>
          <a:xfrm>
            <a:off x="0" y="35051"/>
            <a:ext cx="902969" cy="0"/>
          </a:xfrm>
          <a:custGeom>
            <a:avLst/>
            <a:gdLst/>
            <a:ahLst/>
            <a:cxnLst/>
            <a:rect l="0" t="0" r="0" b="0"/>
            <a:pathLst>
              <a:path w="902969">
                <a:moveTo>
                  <a:pt x="902969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0</xdr:colOff>
      <xdr:row>79</xdr:row>
      <xdr:rowOff>0</xdr:rowOff>
    </xdr:from>
    <xdr:ext cx="902969" cy="35560"/>
    <xdr:grpSp>
      <xdr:nvGrpSpPr>
        <xdr:cNvPr id="19" name="Group 19">
          <a:extLst>
            <a:ext uri="{FF2B5EF4-FFF2-40B4-BE49-F238E27FC236}">
              <a16:creationId xmlns:a16="http://schemas.microsoft.com/office/drawing/2014/main" id="{6B4AFC42-9368-463D-921D-0A6F1A315FD1}"/>
            </a:ext>
          </a:extLst>
        </xdr:cNvPr>
        <xdr:cNvGrpSpPr/>
      </xdr:nvGrpSpPr>
      <xdr:grpSpPr>
        <a:xfrm>
          <a:off x="3829050" y="14963775"/>
          <a:ext cx="902969" cy="35560"/>
          <a:chOff x="0" y="0"/>
          <a:chExt cx="902969" cy="35560"/>
        </a:xfrm>
      </xdr:grpSpPr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E2F56E24-135D-1A09-81A5-B086EA440868}"/>
              </a:ext>
            </a:extLst>
          </xdr:cNvPr>
          <xdr:cNvSpPr/>
        </xdr:nvSpPr>
        <xdr:spPr>
          <a:xfrm>
            <a:off x="0" y="0"/>
            <a:ext cx="902969" cy="0"/>
          </a:xfrm>
          <a:custGeom>
            <a:avLst/>
            <a:gdLst/>
            <a:ahLst/>
            <a:cxnLst/>
            <a:rect l="0" t="0" r="0" b="0"/>
            <a:pathLst>
              <a:path w="902969">
                <a:moveTo>
                  <a:pt x="902969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958543E2-F52A-FF15-F564-0FF653B1DA39}"/>
              </a:ext>
            </a:extLst>
          </xdr:cNvPr>
          <xdr:cNvSpPr/>
        </xdr:nvSpPr>
        <xdr:spPr>
          <a:xfrm>
            <a:off x="0" y="35051"/>
            <a:ext cx="902969" cy="0"/>
          </a:xfrm>
          <a:custGeom>
            <a:avLst/>
            <a:gdLst/>
            <a:ahLst/>
            <a:cxnLst/>
            <a:rect l="0" t="0" r="0" b="0"/>
            <a:pathLst>
              <a:path w="902969">
                <a:moveTo>
                  <a:pt x="902969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40F0-CC2A-4DF1-8E55-43C6140C4AB2}">
  <sheetPr>
    <pageSetUpPr fitToPage="1"/>
  </sheetPr>
  <dimension ref="A1:Q55"/>
  <sheetViews>
    <sheetView topLeftCell="A5" workbookViewId="0">
      <selection sqref="A1:Q43"/>
    </sheetView>
  </sheetViews>
  <sheetFormatPr defaultRowHeight="12.75" x14ac:dyDescent="0.2"/>
  <cols>
    <col min="1" max="1" width="31.33203125" bestFit="1" customWidth="1"/>
    <col min="2" max="2" width="10.1640625" bestFit="1" customWidth="1"/>
    <col min="3" max="3" width="11.1640625" bestFit="1" customWidth="1"/>
    <col min="4" max="4" width="11.5" bestFit="1" customWidth="1"/>
    <col min="5" max="8" width="10.1640625" bestFit="1" customWidth="1"/>
    <col min="9" max="9" width="31" bestFit="1" customWidth="1"/>
    <col min="10" max="14" width="11.33203125" bestFit="1" customWidth="1"/>
    <col min="15" max="16" width="11.1640625" bestFit="1" customWidth="1"/>
    <col min="17" max="17" width="10.1640625" bestFit="1" customWidth="1"/>
  </cols>
  <sheetData>
    <row r="1" spans="1:17" x14ac:dyDescent="0.2">
      <c r="C1" t="str">
        <f>'2022 P&amp;L'!I1</f>
        <v>August</v>
      </c>
      <c r="D1" t="str">
        <f>'2022 P&amp;L'!J1</f>
        <v>September</v>
      </c>
      <c r="E1" t="str">
        <f>'2022 P&amp;L'!K1</f>
        <v>October</v>
      </c>
      <c r="F1" t="str">
        <f>'2022 P&amp;L'!L1</f>
        <v>November</v>
      </c>
      <c r="G1" t="str">
        <f>'2022 P&amp;L'!M1</f>
        <v>December</v>
      </c>
      <c r="H1" s="32" t="s">
        <v>106</v>
      </c>
      <c r="J1" s="44" t="str">
        <f>'2023 P&amp;L'!C1</f>
        <v>January</v>
      </c>
      <c r="K1" s="44" t="str">
        <f>'2023 P&amp;L'!D1</f>
        <v>February</v>
      </c>
      <c r="L1" s="44" t="str">
        <f>'2023 P&amp;L'!E1</f>
        <v>March</v>
      </c>
      <c r="M1" s="44" t="str">
        <f>'2023 P&amp;L'!F1</f>
        <v>April</v>
      </c>
      <c r="N1" s="44" t="str">
        <f>'2023 P&amp;L'!G1</f>
        <v>May</v>
      </c>
      <c r="O1" s="44" t="str">
        <f>'2023 P&amp;L'!H1</f>
        <v>June</v>
      </c>
      <c r="P1" s="44" t="str">
        <f>'2023 P&amp;L'!I1</f>
        <v>July</v>
      </c>
      <c r="Q1" s="32" t="s">
        <v>106</v>
      </c>
    </row>
    <row r="2" spans="1:17" x14ac:dyDescent="0.2">
      <c r="A2" s="2" t="str">
        <f>'2022 P&amp;L'!A2</f>
        <v>Revenues</v>
      </c>
      <c r="C2" s="44"/>
      <c r="D2" s="44"/>
      <c r="E2" s="44"/>
      <c r="F2" s="44"/>
      <c r="G2" s="44"/>
      <c r="I2" s="2" t="str">
        <f>'2023 P&amp;L'!A2</f>
        <v>Revenues</v>
      </c>
      <c r="J2" s="44"/>
      <c r="K2" s="44"/>
      <c r="L2" s="44"/>
      <c r="M2" s="44"/>
      <c r="N2" s="44"/>
      <c r="O2" s="44"/>
      <c r="P2" s="44"/>
    </row>
    <row r="3" spans="1:17" x14ac:dyDescent="0.2">
      <c r="A3" s="43" t="str">
        <f>'2022 P&amp;L'!A3</f>
        <v>Vacation Rentals</v>
      </c>
      <c r="C3" s="44">
        <f>'2022 P&amp;L'!I3</f>
        <v>166266.53</v>
      </c>
      <c r="D3" s="44">
        <f>'2022 P&amp;L'!J3</f>
        <v>114008.62</v>
      </c>
      <c r="E3" s="44">
        <f>'2022 P&amp;L'!K3</f>
        <v>67904.69</v>
      </c>
      <c r="F3" s="44">
        <f>'2022 P&amp;L'!L3</f>
        <v>70574.720000000001</v>
      </c>
      <c r="G3" s="44">
        <f>'2022 P&amp;L'!M3</f>
        <v>51272.12</v>
      </c>
      <c r="H3" s="44"/>
      <c r="I3" s="43" t="str">
        <f>'2023 P&amp;L'!A3</f>
        <v>Vacation Rentals</v>
      </c>
      <c r="J3" s="44">
        <f>'2023 P&amp;L'!C3</f>
        <v>43829.52</v>
      </c>
      <c r="K3" s="44">
        <f>'2023 P&amp;L'!D3</f>
        <v>36964.839999999997</v>
      </c>
      <c r="L3" s="44">
        <f>'2023 P&amp;L'!E3</f>
        <v>88729.600000000006</v>
      </c>
      <c r="M3" s="44">
        <f>'2023 P&amp;L'!F3</f>
        <v>81223.929999999993</v>
      </c>
      <c r="N3" s="44">
        <f>'2023 P&amp;L'!G3</f>
        <v>89792.34</v>
      </c>
      <c r="O3" s="44">
        <f>'2023 P&amp;L'!H3</f>
        <v>148341.39000000001</v>
      </c>
      <c r="P3" s="44">
        <f>'2023 P&amp;L'!I3</f>
        <v>172005.44</v>
      </c>
    </row>
    <row r="4" spans="1:17" x14ac:dyDescent="0.2">
      <c r="A4" s="43" t="str">
        <f>'2022 P&amp;L'!A4</f>
        <v>Misc Income</v>
      </c>
      <c r="C4" s="44">
        <f>'2022 P&amp;L'!I4</f>
        <v>0</v>
      </c>
      <c r="D4" s="44">
        <f>'2022 P&amp;L'!J4</f>
        <v>0</v>
      </c>
      <c r="E4" s="44">
        <f>'2022 P&amp;L'!K4</f>
        <v>123.96</v>
      </c>
      <c r="F4" s="44">
        <f>'2022 P&amp;L'!L4</f>
        <v>0</v>
      </c>
      <c r="G4" s="44">
        <f>'2022 P&amp;L'!M4</f>
        <v>0</v>
      </c>
      <c r="H4" s="44"/>
      <c r="I4" s="43" t="str">
        <f>'2023 P&amp;L'!A4</f>
        <v>Cleaning Fees</v>
      </c>
      <c r="J4" s="44">
        <f>'2023 P&amp;L'!C4</f>
        <v>11605.75</v>
      </c>
      <c r="K4" s="44">
        <f>'2023 P&amp;L'!D4</f>
        <v>12267.81</v>
      </c>
      <c r="L4" s="44">
        <f>'2023 P&amp;L'!E4</f>
        <v>15472.97</v>
      </c>
      <c r="M4" s="44">
        <f>'2023 P&amp;L'!F4</f>
        <v>15837.96</v>
      </c>
      <c r="N4" s="44">
        <f>'2023 P&amp;L'!G4</f>
        <v>15004.81</v>
      </c>
      <c r="O4" s="44">
        <f>'2023 P&amp;L'!H4</f>
        <v>15056.3</v>
      </c>
      <c r="P4" s="44">
        <f>'2023 P&amp;L'!I4</f>
        <v>19162.490000000002</v>
      </c>
    </row>
    <row r="5" spans="1:17" x14ac:dyDescent="0.2">
      <c r="A5" s="43" t="str">
        <f>'2022 P&amp;L'!A5</f>
        <v>Resort Fees - owner</v>
      </c>
      <c r="C5" s="44">
        <f>'2022 P&amp;L'!I5</f>
        <v>10851</v>
      </c>
      <c r="D5" s="44">
        <f>'2022 P&amp;L'!J5</f>
        <v>8064</v>
      </c>
      <c r="E5" s="44">
        <f>'2022 P&amp;L'!K5</f>
        <v>5455</v>
      </c>
      <c r="F5" s="44">
        <f>'2022 P&amp;L'!L5</f>
        <v>5040</v>
      </c>
      <c r="G5" s="44">
        <f>'2022 P&amp;L'!M5</f>
        <v>2086.3000000000002</v>
      </c>
      <c r="H5" s="44"/>
      <c r="I5" s="43" t="str">
        <f>'2023 P&amp;L'!A5</f>
        <v>Resort Fees - owner</v>
      </c>
      <c r="J5" s="44">
        <f>'2023 P&amp;L'!C5</f>
        <v>846</v>
      </c>
      <c r="K5" s="44">
        <f>'2023 P&amp;L'!D5</f>
        <v>2772</v>
      </c>
      <c r="L5" s="44">
        <f>'2023 P&amp;L'!E5</f>
        <v>4608</v>
      </c>
      <c r="M5" s="44">
        <f>'2023 P&amp;L'!F5</f>
        <v>2448</v>
      </c>
      <c r="N5" s="44">
        <f>'2023 P&amp;L'!G5</f>
        <v>2106</v>
      </c>
      <c r="O5" s="44">
        <f>'2023 P&amp;L'!H5</f>
        <v>8892</v>
      </c>
      <c r="P5" s="44">
        <f>'2023 P&amp;L'!I5</f>
        <v>9972</v>
      </c>
    </row>
    <row r="6" spans="1:17" x14ac:dyDescent="0.2">
      <c r="A6" s="43"/>
      <c r="C6" s="44"/>
      <c r="D6" s="44"/>
      <c r="E6" s="44"/>
      <c r="F6" s="44"/>
      <c r="G6" s="44"/>
      <c r="H6" s="44"/>
      <c r="I6" s="43" t="str">
        <f>'2023 P&amp;L'!A6</f>
        <v>Misc Fees</v>
      </c>
      <c r="J6" s="44">
        <f>'2023 P&amp;L'!C6</f>
        <v>1174.5999999999999</v>
      </c>
      <c r="K6" s="44">
        <f>'2023 P&amp;L'!D6</f>
        <v>1085.8800000000001</v>
      </c>
      <c r="L6" s="44">
        <f>'2023 P&amp;L'!E6</f>
        <v>3224.36</v>
      </c>
      <c r="M6" s="44">
        <f>'2023 P&amp;L'!F6</f>
        <v>3321.71</v>
      </c>
      <c r="N6" s="44">
        <f>'2023 P&amp;L'!G6</f>
        <v>2875.43</v>
      </c>
      <c r="O6" s="44">
        <f>'2023 P&amp;L'!H6</f>
        <v>5111.09</v>
      </c>
      <c r="P6" s="44">
        <f>'2023 P&amp;L'!I6</f>
        <v>5685.47</v>
      </c>
    </row>
    <row r="7" spans="1:17" x14ac:dyDescent="0.2">
      <c r="A7" s="2" t="str">
        <f>'2022 P&amp;L'!A6</f>
        <v>Total Revenues</v>
      </c>
      <c r="C7" s="44">
        <f>'2022 P&amp;L'!I6</f>
        <v>177117.53</v>
      </c>
      <c r="D7" s="44">
        <f>'2022 P&amp;L'!J6</f>
        <v>122072.62</v>
      </c>
      <c r="E7" s="44">
        <f>'2022 P&amp;L'!K6</f>
        <v>73483.650000000009</v>
      </c>
      <c r="F7" s="44">
        <f>'2022 P&amp;L'!L6</f>
        <v>75614.720000000001</v>
      </c>
      <c r="G7" s="44">
        <f>'2022 P&amp;L'!M6</f>
        <v>53358.420000000006</v>
      </c>
      <c r="H7" s="44"/>
      <c r="I7" s="43" t="str">
        <f>'2023 P&amp;L'!A7</f>
        <v>Revenue - Dec '22</v>
      </c>
      <c r="J7" s="44">
        <f>'2023 P&amp;L'!C7</f>
        <v>30343.62</v>
      </c>
      <c r="K7" s="44">
        <f>'2023 P&amp;L'!D7</f>
        <v>0</v>
      </c>
      <c r="L7" s="44">
        <f>'2023 P&amp;L'!E7</f>
        <v>0</v>
      </c>
      <c r="M7" s="44">
        <f>'2023 P&amp;L'!F7</f>
        <v>0</v>
      </c>
      <c r="N7" s="44">
        <f>'2023 P&amp;L'!G7</f>
        <v>0</v>
      </c>
      <c r="O7" s="44">
        <f>'2023 P&amp;L'!H7</f>
        <v>0</v>
      </c>
      <c r="P7" s="44">
        <f>'2023 P&amp;L'!I7</f>
        <v>0</v>
      </c>
    </row>
    <row r="8" spans="1:17" x14ac:dyDescent="0.2">
      <c r="A8" s="2" t="str">
        <f>'2022 P&amp;L'!A7</f>
        <v>Cost of Sales</v>
      </c>
      <c r="C8" s="44">
        <f>'2022 P&amp;L'!I7</f>
        <v>0</v>
      </c>
      <c r="D8" s="44">
        <f>'2022 P&amp;L'!J7</f>
        <v>0</v>
      </c>
      <c r="E8" s="44">
        <f>'2022 P&amp;L'!K7</f>
        <v>0</v>
      </c>
      <c r="F8" s="44">
        <f>'2022 P&amp;L'!L7</f>
        <v>0</v>
      </c>
      <c r="G8" s="44">
        <f>'2022 P&amp;L'!M7</f>
        <v>0</v>
      </c>
      <c r="H8" s="44"/>
      <c r="I8" s="2" t="str">
        <f>'2023 P&amp;L'!A8</f>
        <v>Total Revenues</v>
      </c>
      <c r="J8" s="44">
        <f>'2023 P&amp;L'!C8</f>
        <v>87799.489999999991</v>
      </c>
      <c r="K8" s="44">
        <f>'2023 P&amp;L'!D8</f>
        <v>53090.529999999992</v>
      </c>
      <c r="L8" s="44">
        <f>'2023 P&amp;L'!E8</f>
        <v>112034.93000000001</v>
      </c>
      <c r="M8" s="44">
        <f>'2023 P&amp;L'!F8</f>
        <v>102831.59999999999</v>
      </c>
      <c r="N8" s="44">
        <f>'2023 P&amp;L'!G8</f>
        <v>109778.57999999999</v>
      </c>
      <c r="O8" s="44">
        <f>'2023 P&amp;L'!H8</f>
        <v>177400.78</v>
      </c>
      <c r="P8" s="44">
        <f>'2023 P&amp;L'!I8</f>
        <v>206825.4</v>
      </c>
    </row>
    <row r="9" spans="1:17" x14ac:dyDescent="0.2">
      <c r="A9" s="43" t="str">
        <f>'2022 P&amp;L'!A8</f>
        <v>Credit Card Fees</v>
      </c>
      <c r="C9" s="44">
        <f>'2022 P&amp;L'!I8</f>
        <v>0</v>
      </c>
      <c r="D9" s="44">
        <f>'2022 P&amp;L'!J8</f>
        <v>0</v>
      </c>
      <c r="E9" s="44">
        <f>'2022 P&amp;L'!K8</f>
        <v>0</v>
      </c>
      <c r="F9" s="44">
        <f>'2022 P&amp;L'!L8</f>
        <v>0</v>
      </c>
      <c r="G9" s="44">
        <f>'2022 P&amp;L'!M8</f>
        <v>0</v>
      </c>
      <c r="H9" s="44"/>
      <c r="I9" s="2" t="str">
        <f>'2023 P&amp;L'!A9</f>
        <v>Cost of Sales</v>
      </c>
      <c r="J9" s="44"/>
      <c r="K9" s="44"/>
      <c r="L9" s="44"/>
      <c r="M9" s="44"/>
      <c r="N9" s="44"/>
      <c r="O9" s="44"/>
      <c r="P9" s="44"/>
    </row>
    <row r="10" spans="1:17" x14ac:dyDescent="0.2">
      <c r="A10" s="43" t="str">
        <f>'2022 P&amp;L'!A9</f>
        <v>Supplies</v>
      </c>
      <c r="C10" s="44">
        <f>'2022 P&amp;L'!I9</f>
        <v>2874.67</v>
      </c>
      <c r="D10" s="44">
        <f>'2022 P&amp;L'!J9</f>
        <v>2468.64</v>
      </c>
      <c r="E10" s="44">
        <f>'2022 P&amp;L'!K9</f>
        <v>2707.08</v>
      </c>
      <c r="F10" s="44">
        <f>'2022 P&amp;L'!L9</f>
        <v>1521.86</v>
      </c>
      <c r="G10" s="44">
        <f>'2022 P&amp;L'!M9</f>
        <v>1038.45</v>
      </c>
      <c r="H10" s="44"/>
      <c r="I10" s="43" t="str">
        <f>'2023 P&amp;L'!A10</f>
        <v>Credit Card Fees</v>
      </c>
      <c r="J10" s="44">
        <f>'2023 P&amp;L'!C10</f>
        <v>0</v>
      </c>
      <c r="K10" s="44">
        <f>'2023 P&amp;L'!D10</f>
        <v>1062.19</v>
      </c>
      <c r="L10" s="44">
        <f>'2023 P&amp;L'!E10</f>
        <v>2563.52</v>
      </c>
      <c r="M10" s="44">
        <f>'2023 P&amp;L'!F10</f>
        <v>4539.78</v>
      </c>
      <c r="N10" s="44">
        <f>'2023 P&amp;L'!G10</f>
        <v>5013.3100000000004</v>
      </c>
      <c r="O10" s="44">
        <f>'2023 P&amp;L'!H10</f>
        <v>5257.07</v>
      </c>
      <c r="P10" s="44">
        <f>'2023 P&amp;L'!I10</f>
        <v>5345.7</v>
      </c>
    </row>
    <row r="11" spans="1:17" x14ac:dyDescent="0.2">
      <c r="A11" s="43" t="str">
        <f>'2022 P&amp;L'!A10</f>
        <v>Maintenance Expense</v>
      </c>
      <c r="C11" s="44">
        <f>'2022 P&amp;L'!I10</f>
        <v>2968.66</v>
      </c>
      <c r="D11" s="44">
        <f>'2022 P&amp;L'!J10</f>
        <v>0</v>
      </c>
      <c r="E11" s="44">
        <f>'2022 P&amp;L'!K10</f>
        <v>0</v>
      </c>
      <c r="F11" s="44">
        <f>'2022 P&amp;L'!L10</f>
        <v>0</v>
      </c>
      <c r="G11" s="44">
        <f>'2022 P&amp;L'!M10</f>
        <v>0</v>
      </c>
      <c r="H11" s="44"/>
      <c r="I11" s="43" t="str">
        <f>'2023 P&amp;L'!A11</f>
        <v>Hotel - Tax</v>
      </c>
      <c r="J11" s="44">
        <f>'2023 P&amp;L'!C11</f>
        <v>0</v>
      </c>
      <c r="K11" s="44">
        <f>'2023 P&amp;L'!D11</f>
        <v>2800.64</v>
      </c>
      <c r="L11" s="44">
        <f>'2023 P&amp;L'!E11</f>
        <v>2885.62</v>
      </c>
      <c r="M11" s="44">
        <f>'2023 P&amp;L'!F11</f>
        <v>15620.41</v>
      </c>
      <c r="N11" s="44">
        <f>'2023 P&amp;L'!G11</f>
        <v>1296.5</v>
      </c>
      <c r="O11" s="44">
        <f>'2023 P&amp;L'!H11</f>
        <v>9818.9699999999993</v>
      </c>
      <c r="P11" s="44">
        <f>'2023 P&amp;L'!I11</f>
        <v>26447.58</v>
      </c>
    </row>
    <row r="12" spans="1:17" x14ac:dyDescent="0.2">
      <c r="A12" s="43" t="str">
        <f>'2022 P&amp;L'!A11</f>
        <v>TV connection - Guests</v>
      </c>
      <c r="C12" s="44">
        <f>'2022 P&amp;L'!I11</f>
        <v>1724</v>
      </c>
      <c r="D12" s="44">
        <f>'2022 P&amp;L'!J11</f>
        <v>1724</v>
      </c>
      <c r="E12" s="44">
        <f>'2022 P&amp;L'!K11</f>
        <v>1724</v>
      </c>
      <c r="F12" s="44">
        <f>'2022 P&amp;L'!L11</f>
        <v>1724</v>
      </c>
      <c r="G12" s="44">
        <f>'2022 P&amp;L'!M11</f>
        <v>1724</v>
      </c>
      <c r="H12" s="44">
        <f>SUM(C12:G12)</f>
        <v>8620</v>
      </c>
      <c r="I12" s="43" t="str">
        <f>'2023 P&amp;L'!A12</f>
        <v>Guest Refund</v>
      </c>
      <c r="J12" s="44">
        <f>'2023 P&amp;L'!C12</f>
        <v>0</v>
      </c>
      <c r="K12" s="44">
        <f>'2023 P&amp;L'!D12</f>
        <v>0</v>
      </c>
      <c r="L12" s="44">
        <f>'2023 P&amp;L'!E12</f>
        <v>373.22</v>
      </c>
      <c r="M12" s="44">
        <f>'2023 P&amp;L'!F12</f>
        <v>0</v>
      </c>
      <c r="N12" s="44">
        <f>'2023 P&amp;L'!G12</f>
        <v>1016.23</v>
      </c>
      <c r="O12" s="44">
        <f>'2023 P&amp;L'!H12</f>
        <v>0</v>
      </c>
      <c r="P12" s="44">
        <f>'2023 P&amp;L'!I12</f>
        <v>582.89</v>
      </c>
    </row>
    <row r="13" spans="1:17" x14ac:dyDescent="0.2">
      <c r="A13" s="43" t="str">
        <f>'2022 P&amp;L'!A12</f>
        <v>Labor - Seguin Travel</v>
      </c>
      <c r="C13" s="44">
        <f>'2022 P&amp;L'!I12</f>
        <v>3536.26</v>
      </c>
      <c r="D13" s="44">
        <f>'2022 P&amp;L'!J12</f>
        <v>3340</v>
      </c>
      <c r="E13" s="44">
        <f>'2022 P&amp;L'!K12</f>
        <v>0</v>
      </c>
      <c r="F13" s="44">
        <f>'2022 P&amp;L'!L12</f>
        <v>0</v>
      </c>
      <c r="G13" s="44">
        <f>'2022 P&amp;L'!M12</f>
        <v>9495</v>
      </c>
      <c r="H13" s="44"/>
      <c r="I13" s="43" t="str">
        <f>'2023 P&amp;L'!A13</f>
        <v>Supplies</v>
      </c>
      <c r="J13" s="44">
        <f>'2023 P&amp;L'!C13</f>
        <v>1818.32</v>
      </c>
      <c r="K13" s="44">
        <f>'2023 P&amp;L'!D13</f>
        <v>1011.3</v>
      </c>
      <c r="L13" s="44">
        <f>'2023 P&amp;L'!E13</f>
        <v>0</v>
      </c>
      <c r="M13" s="44">
        <f>'2023 P&amp;L'!F13</f>
        <v>627.78</v>
      </c>
      <c r="N13" s="44">
        <f>'2023 P&amp;L'!G13</f>
        <v>1728.21</v>
      </c>
      <c r="O13" s="44">
        <f>'2023 P&amp;L'!H13</f>
        <v>3292.33</v>
      </c>
      <c r="P13" s="44">
        <f>'2023 P&amp;L'!I13</f>
        <v>2614.44</v>
      </c>
    </row>
    <row r="14" spans="1:17" x14ac:dyDescent="0.2">
      <c r="A14" s="43" t="str">
        <f>'2022 P&amp;L'!A13</f>
        <v>Management Fee - Seguin Travel</v>
      </c>
      <c r="C14" s="44">
        <f>'2022 P&amp;L'!I13</f>
        <v>41566.629999999997</v>
      </c>
      <c r="D14" s="44">
        <f>'2022 P&amp;L'!J13</f>
        <v>28502.16</v>
      </c>
      <c r="E14" s="44">
        <f>'2022 P&amp;L'!K13</f>
        <v>16976.169999999998</v>
      </c>
      <c r="F14" s="44">
        <f>'2022 P&amp;L'!L13</f>
        <v>17630.73</v>
      </c>
      <c r="G14" s="44">
        <f>'2022 P&amp;L'!M13</f>
        <v>12818.03</v>
      </c>
      <c r="H14" s="44"/>
      <c r="I14" s="43" t="str">
        <f>'2023 P&amp;L'!A14</f>
        <v>Propane</v>
      </c>
      <c r="J14" s="44">
        <f>'2023 P&amp;L'!C14</f>
        <v>0</v>
      </c>
      <c r="K14" s="44">
        <f>'2023 P&amp;L'!D14</f>
        <v>0</v>
      </c>
      <c r="L14" s="44">
        <f>'2023 P&amp;L'!E14</f>
        <v>435</v>
      </c>
      <c r="M14" s="44">
        <f>'2023 P&amp;L'!F14</f>
        <v>0</v>
      </c>
      <c r="N14" s="44">
        <f>'2023 P&amp;L'!G14</f>
        <v>0</v>
      </c>
      <c r="O14" s="44">
        <f>'2023 P&amp;L'!H14</f>
        <v>0</v>
      </c>
      <c r="P14" s="44">
        <f>'2023 P&amp;L'!I14</f>
        <v>0</v>
      </c>
    </row>
    <row r="15" spans="1:17" x14ac:dyDescent="0.2">
      <c r="A15" s="43" t="str">
        <f>'2022 P&amp;L'!A14</f>
        <v>Advertising Expense</v>
      </c>
      <c r="C15" s="44">
        <f>'2022 P&amp;L'!I14</f>
        <v>0</v>
      </c>
      <c r="D15" s="44">
        <f>'2022 P&amp;L'!J14</f>
        <v>3375.45</v>
      </c>
      <c r="E15" s="44">
        <f>'2022 P&amp;L'!K14</f>
        <v>0</v>
      </c>
      <c r="F15" s="44">
        <f>'2022 P&amp;L'!L14</f>
        <v>0</v>
      </c>
      <c r="G15" s="44">
        <f>'2022 P&amp;L'!M14</f>
        <v>4897.43</v>
      </c>
      <c r="H15" s="44"/>
      <c r="I15" s="43" t="str">
        <f>'2023 P&amp;L'!A15</f>
        <v>Cleaning - Contractor</v>
      </c>
      <c r="J15" s="44">
        <f>'2023 P&amp;L'!C15</f>
        <v>0</v>
      </c>
      <c r="K15" s="44">
        <f>'2023 P&amp;L'!D15</f>
        <v>10044</v>
      </c>
      <c r="L15" s="44">
        <f>'2023 P&amp;L'!E15</f>
        <v>14739</v>
      </c>
      <c r="M15" s="44">
        <f>'2023 P&amp;L'!F15</f>
        <v>15536.72</v>
      </c>
      <c r="N15" s="44">
        <f>'2023 P&amp;L'!G15</f>
        <v>14899</v>
      </c>
      <c r="O15" s="44">
        <f>'2023 P&amp;L'!H15</f>
        <v>15024</v>
      </c>
      <c r="P15" s="44">
        <f>'2023 P&amp;L'!I15</f>
        <v>16018</v>
      </c>
    </row>
    <row r="16" spans="1:17" x14ac:dyDescent="0.2">
      <c r="A16" s="43" t="str">
        <f>'2022 P&amp;L'!A15</f>
        <v>Utilities - Pest</v>
      </c>
      <c r="C16" s="44">
        <f>'2022 P&amp;L'!I15</f>
        <v>1093.32</v>
      </c>
      <c r="D16" s="44">
        <f>'2022 P&amp;L'!J15</f>
        <v>1055.44</v>
      </c>
      <c r="E16" s="44">
        <f>'2022 P&amp;L'!K15</f>
        <v>1055.44</v>
      </c>
      <c r="F16" s="44">
        <f>'2022 P&amp;L'!L15</f>
        <v>1055.44</v>
      </c>
      <c r="G16" s="44">
        <f>'2022 P&amp;L'!M15</f>
        <v>378.88</v>
      </c>
      <c r="H16" s="44"/>
      <c r="I16" s="43" t="str">
        <f>'2023 P&amp;L'!A16</f>
        <v>After hours  - Contractor</v>
      </c>
      <c r="J16" s="44">
        <f>'2023 P&amp;L'!C16</f>
        <v>0</v>
      </c>
      <c r="K16" s="44">
        <f>'2023 P&amp;L'!D16</f>
        <v>480</v>
      </c>
      <c r="L16" s="44">
        <f>'2023 P&amp;L'!E16</f>
        <v>1680</v>
      </c>
      <c r="M16" s="44">
        <f>'2023 P&amp;L'!F16</f>
        <v>0</v>
      </c>
      <c r="N16" s="44">
        <f>'2023 P&amp;L'!G16</f>
        <v>1553.75</v>
      </c>
      <c r="O16" s="44">
        <f>'2023 P&amp;L'!H16</f>
        <v>0</v>
      </c>
      <c r="P16" s="44">
        <f>'2023 P&amp;L'!I16</f>
        <v>0</v>
      </c>
    </row>
    <row r="17" spans="1:17" x14ac:dyDescent="0.2">
      <c r="A17" s="43" t="str">
        <f>'2022 P&amp;L'!A16</f>
        <v>Utilities - Electric</v>
      </c>
      <c r="C17" s="44">
        <f>'2022 P&amp;L'!I16</f>
        <v>3608.29</v>
      </c>
      <c r="D17" s="44">
        <f>'2022 P&amp;L'!J16</f>
        <v>4123.04</v>
      </c>
      <c r="E17" s="44">
        <f>'2022 P&amp;L'!K16</f>
        <v>3477.12</v>
      </c>
      <c r="F17" s="44">
        <f>'2022 P&amp;L'!L16</f>
        <v>2632.54</v>
      </c>
      <c r="G17" s="44">
        <f>'2022 P&amp;L'!M16</f>
        <v>2447.0700000000002</v>
      </c>
      <c r="H17" s="44"/>
      <c r="I17" s="43" t="str">
        <f>'2023 P&amp;L'!A17</f>
        <v>Landscaping</v>
      </c>
      <c r="J17" s="44">
        <f>'2023 P&amp;L'!C17</f>
        <v>0</v>
      </c>
      <c r="K17" s="44">
        <f>'2023 P&amp;L'!D17</f>
        <v>0</v>
      </c>
      <c r="L17" s="44">
        <f>'2023 P&amp;L'!E17</f>
        <v>0</v>
      </c>
      <c r="M17" s="44">
        <f>'2023 P&amp;L'!F17</f>
        <v>1182.76</v>
      </c>
      <c r="N17" s="44">
        <f>'2023 P&amp;L'!G17</f>
        <v>1178.8800000000001</v>
      </c>
      <c r="O17" s="44">
        <f>'2023 P&amp;L'!H17</f>
        <v>2000</v>
      </c>
      <c r="P17" s="44">
        <f>'2023 P&amp;L'!I17</f>
        <v>1600</v>
      </c>
    </row>
    <row r="18" spans="1:17" x14ac:dyDescent="0.2">
      <c r="A18" s="43" t="str">
        <f>'2022 P&amp;L'!A17</f>
        <v>Utilities - Sewer</v>
      </c>
      <c r="C18" s="44">
        <f>'2022 P&amp;L'!I17</f>
        <v>545.16</v>
      </c>
      <c r="D18" s="44">
        <f>'2022 P&amp;L'!J17</f>
        <v>545.19000000000005</v>
      </c>
      <c r="E18" s="44">
        <f>'2022 P&amp;L'!K17</f>
        <v>545.16</v>
      </c>
      <c r="F18" s="44">
        <f>'2022 P&amp;L'!L17</f>
        <v>545.16</v>
      </c>
      <c r="G18" s="44">
        <f>'2022 P&amp;L'!M17</f>
        <v>545.16</v>
      </c>
      <c r="H18" s="44"/>
      <c r="I18" s="43" t="str">
        <f>'2023 P&amp;L'!A18</f>
        <v>Maintenance - Septic</v>
      </c>
      <c r="J18" s="44">
        <f>'2023 P&amp;L'!C18</f>
        <v>0</v>
      </c>
      <c r="K18" s="44">
        <f>'2023 P&amp;L'!D18</f>
        <v>0</v>
      </c>
      <c r="L18" s="44">
        <f>'2023 P&amp;L'!E18</f>
        <v>0</v>
      </c>
      <c r="M18" s="44">
        <f>'2023 P&amp;L'!F18</f>
        <v>2229.12</v>
      </c>
      <c r="N18" s="44">
        <f>'2023 P&amp;L'!G18</f>
        <v>0</v>
      </c>
      <c r="O18" s="44">
        <f>'2023 P&amp;L'!H18</f>
        <v>0</v>
      </c>
      <c r="P18" s="44">
        <f>'2023 P&amp;L'!I18</f>
        <v>0</v>
      </c>
    </row>
    <row r="19" spans="1:17" x14ac:dyDescent="0.2">
      <c r="A19" s="43" t="str">
        <f>'2022 P&amp;L'!A18</f>
        <v>Utilities - Water</v>
      </c>
      <c r="C19" s="44">
        <f>'2022 P&amp;L'!I18</f>
        <v>517.45000000000005</v>
      </c>
      <c r="D19" s="44">
        <f>'2022 P&amp;L'!J18</f>
        <v>571.63</v>
      </c>
      <c r="E19" s="44">
        <f>'2022 P&amp;L'!K18</f>
        <v>568.38</v>
      </c>
      <c r="F19" s="44">
        <f>'2022 P&amp;L'!L18</f>
        <v>543.41</v>
      </c>
      <c r="G19" s="44">
        <f>'2022 P&amp;L'!M18</f>
        <v>596.05999999999995</v>
      </c>
      <c r="H19" s="44"/>
      <c r="I19" s="43" t="str">
        <f>'2023 P&amp;L'!A19</f>
        <v>TV connection - Guests</v>
      </c>
      <c r="J19" s="44">
        <f>'2023 P&amp;L'!C19</f>
        <v>1724</v>
      </c>
      <c r="K19" s="44">
        <f>'2023 P&amp;L'!D19</f>
        <v>3448</v>
      </c>
      <c r="L19" s="44">
        <f>'2023 P&amp;L'!E19</f>
        <v>0</v>
      </c>
      <c r="M19" s="44">
        <f>'2023 P&amp;L'!F19</f>
        <v>1724</v>
      </c>
      <c r="N19" s="44">
        <f>'2023 P&amp;L'!G19</f>
        <v>1724</v>
      </c>
      <c r="O19" s="44">
        <f>'2023 P&amp;L'!H19</f>
        <v>1724</v>
      </c>
      <c r="P19" s="44">
        <f>'2023 P&amp;L'!I19</f>
        <v>0</v>
      </c>
      <c r="Q19" s="44">
        <f>SUM(J19:P19)</f>
        <v>10344</v>
      </c>
    </row>
    <row r="20" spans="1:17" x14ac:dyDescent="0.2">
      <c r="A20" s="2" t="str">
        <f>'2022 P&amp;L'!A19</f>
        <v>Total Cost of Sales</v>
      </c>
      <c r="C20" s="44">
        <f>'2022 P&amp;L'!I19</f>
        <v>58434.44</v>
      </c>
      <c r="D20" s="44">
        <f>'2022 P&amp;L'!J19</f>
        <v>45705.55</v>
      </c>
      <c r="E20" s="44">
        <f>'2022 P&amp;L'!K19</f>
        <v>27053.35</v>
      </c>
      <c r="F20" s="44">
        <f>'2022 P&amp;L'!L19</f>
        <v>25653.14</v>
      </c>
      <c r="G20" s="44">
        <f>'2022 P&amp;L'!M19</f>
        <v>33940.080000000009</v>
      </c>
      <c r="H20" s="44"/>
      <c r="I20" s="43" t="str">
        <f>'2023 P&amp;L'!A20</f>
        <v>Labor - Outside Contractor</v>
      </c>
      <c r="J20" s="44">
        <f>'2023 P&amp;L'!C20</f>
        <v>0</v>
      </c>
      <c r="K20" s="44">
        <f>'2023 P&amp;L'!D20</f>
        <v>0</v>
      </c>
      <c r="L20" s="44">
        <f>'2023 P&amp;L'!E20</f>
        <v>1000</v>
      </c>
      <c r="M20" s="44">
        <f>'2023 P&amp;L'!F20</f>
        <v>3528.11</v>
      </c>
      <c r="N20" s="44">
        <f>'2023 P&amp;L'!G20</f>
        <v>2100</v>
      </c>
      <c r="O20" s="44">
        <f>'2023 P&amp;L'!H20</f>
        <v>365.81</v>
      </c>
      <c r="P20" s="44">
        <f>'2023 P&amp;L'!I20</f>
        <v>991.19</v>
      </c>
    </row>
    <row r="21" spans="1:17" x14ac:dyDescent="0.2">
      <c r="A21" s="2" t="str">
        <f>'2022 P&amp;L'!A20</f>
        <v>Gross Profit</v>
      </c>
      <c r="C21" s="44">
        <f>'2022 P&amp;L'!I20</f>
        <v>118683.09</v>
      </c>
      <c r="D21" s="44">
        <f>'2022 P&amp;L'!J20</f>
        <v>76367.069999999992</v>
      </c>
      <c r="E21" s="44">
        <f>'2022 P&amp;L'!K20</f>
        <v>46430.30000000001</v>
      </c>
      <c r="F21" s="44">
        <f>'2022 P&amp;L'!L20</f>
        <v>49961.58</v>
      </c>
      <c r="G21" s="44">
        <f>'2022 P&amp;L'!M20</f>
        <v>19418.339999999997</v>
      </c>
      <c r="H21" s="44"/>
      <c r="I21" s="43" t="str">
        <f>'2023 P&amp;L'!A21</f>
        <v>Management Fee - BTM</v>
      </c>
      <c r="J21" s="44">
        <f>'2023 P&amp;L'!C21</f>
        <v>9704.8799999999992</v>
      </c>
      <c r="K21" s="44">
        <f>'2023 P&amp;L'!D21</f>
        <v>8125.98</v>
      </c>
      <c r="L21" s="44">
        <f>'2023 P&amp;L'!E21</f>
        <v>19350.87</v>
      </c>
      <c r="M21" s="44">
        <f>'2023 P&amp;L'!F21</f>
        <v>17723.5</v>
      </c>
      <c r="N21" s="44">
        <f>'2023 P&amp;L'!G21</f>
        <v>19610.509999999998</v>
      </c>
      <c r="O21" s="44">
        <f>'2023 P&amp;L'!H21</f>
        <v>32387.94</v>
      </c>
      <c r="P21" s="44">
        <f>'2023 P&amp;L'!I21</f>
        <v>37495.75</v>
      </c>
    </row>
    <row r="22" spans="1:17" x14ac:dyDescent="0.2">
      <c r="A22" s="2" t="str">
        <f>'2022 P&amp;L'!A21</f>
        <v>Expenses</v>
      </c>
      <c r="C22" s="44"/>
      <c r="D22" s="44"/>
      <c r="E22" s="44"/>
      <c r="F22" s="44"/>
      <c r="G22" s="44"/>
      <c r="H22" s="44"/>
      <c r="I22" s="43" t="str">
        <f>'2023 P&amp;L'!A22</f>
        <v>Management Fee - Horizon 12.22</v>
      </c>
      <c r="J22" s="44">
        <f>'2023 P&amp;L'!C22</f>
        <v>6500</v>
      </c>
      <c r="K22" s="44">
        <f>'2023 P&amp;L'!D22</f>
        <v>0</v>
      </c>
      <c r="L22" s="44">
        <f>'2023 P&amp;L'!E22</f>
        <v>0</v>
      </c>
      <c r="M22" s="44">
        <f>'2023 P&amp;L'!F22</f>
        <v>0</v>
      </c>
      <c r="N22" s="44">
        <f>'2023 P&amp;L'!G22</f>
        <v>0</v>
      </c>
      <c r="O22" s="44">
        <f>'2023 P&amp;L'!H22</f>
        <v>0</v>
      </c>
      <c r="P22" s="44">
        <f>'2023 P&amp;L'!I22</f>
        <v>0</v>
      </c>
    </row>
    <row r="23" spans="1:17" x14ac:dyDescent="0.2">
      <c r="A23" s="43" t="str">
        <f>'2022 P&amp;L'!A22</f>
        <v>Bank Charges</v>
      </c>
      <c r="C23" s="44">
        <f>'2022 P&amp;L'!I22</f>
        <v>15</v>
      </c>
      <c r="D23" s="44">
        <f>'2022 P&amp;L'!J22</f>
        <v>0</v>
      </c>
      <c r="E23" s="44">
        <f>'2022 P&amp;L'!K22</f>
        <v>15</v>
      </c>
      <c r="F23" s="44">
        <f>'2022 P&amp;L'!L22</f>
        <v>45</v>
      </c>
      <c r="G23" s="44">
        <f>'2022 P&amp;L'!M22</f>
        <v>15</v>
      </c>
      <c r="H23" s="44"/>
      <c r="I23" s="43" t="str">
        <f>'2023 P&amp;L'!A23</f>
        <v>Utilities - Pest</v>
      </c>
      <c r="J23" s="44">
        <f>'2023 P&amp;L'!C23</f>
        <v>866</v>
      </c>
      <c r="K23" s="44">
        <f>'2023 P&amp;L'!D23</f>
        <v>0</v>
      </c>
      <c r="L23" s="44">
        <f>'2023 P&amp;L'!E23</f>
        <v>1217.81</v>
      </c>
      <c r="M23" s="44">
        <f>'2023 P&amp;L'!F23</f>
        <v>757.75</v>
      </c>
      <c r="N23" s="44">
        <f>'2023 P&amp;L'!G23</f>
        <v>0</v>
      </c>
      <c r="O23" s="44">
        <f>'2023 P&amp;L'!H23</f>
        <v>757.75</v>
      </c>
      <c r="P23" s="44">
        <f>'2023 P&amp;L'!I23</f>
        <v>811.88</v>
      </c>
    </row>
    <row r="24" spans="1:17" x14ac:dyDescent="0.2">
      <c r="A24" s="43" t="str">
        <f>'2022 P&amp;L'!A23</f>
        <v>Insurance Expense-Prop</v>
      </c>
      <c r="C24" s="44">
        <f>'2022 P&amp;L'!I23</f>
        <v>2202.34</v>
      </c>
      <c r="D24" s="44">
        <f>'2022 P&amp;L'!J23</f>
        <v>2202.34</v>
      </c>
      <c r="E24" s="44">
        <f>'2022 P&amp;L'!K23</f>
        <v>2202.34</v>
      </c>
      <c r="F24" s="44">
        <f>'2022 P&amp;L'!L23</f>
        <v>2202.34</v>
      </c>
      <c r="G24" s="44">
        <f>'2022 P&amp;L'!M23</f>
        <v>2202.34</v>
      </c>
      <c r="H24" s="44"/>
      <c r="I24" s="43" t="str">
        <f>'2023 P&amp;L'!A24</f>
        <v>Utilities - Electric</v>
      </c>
      <c r="J24" s="44">
        <f>'2023 P&amp;L'!C24</f>
        <v>2122.0700000000002</v>
      </c>
      <c r="K24" s="44">
        <f>'2023 P&amp;L'!D24</f>
        <v>2235</v>
      </c>
      <c r="L24" s="44">
        <f>'2023 P&amp;L'!E24</f>
        <v>2577</v>
      </c>
      <c r="M24" s="44">
        <f>'2023 P&amp;L'!F24</f>
        <v>2105</v>
      </c>
      <c r="N24" s="44">
        <f>'2023 P&amp;L'!G24</f>
        <v>2025</v>
      </c>
      <c r="O24" s="44">
        <f>'2023 P&amp;L'!H24</f>
        <v>2400</v>
      </c>
      <c r="P24" s="44">
        <f>'2023 P&amp;L'!I24</f>
        <v>2133</v>
      </c>
    </row>
    <row r="25" spans="1:17" x14ac:dyDescent="0.2">
      <c r="A25" s="43" t="str">
        <f>'2022 P&amp;L'!A24</f>
        <v>Insurance Expense - Flood</v>
      </c>
      <c r="C25" s="44">
        <f>'2022 P&amp;L'!I24</f>
        <v>604.64</v>
      </c>
      <c r="D25" s="44">
        <f>'2022 P&amp;L'!J24</f>
        <v>604.64</v>
      </c>
      <c r="E25" s="44">
        <f>'2022 P&amp;L'!K24</f>
        <v>604.64</v>
      </c>
      <c r="F25" s="44">
        <f>'2022 P&amp;L'!L24</f>
        <v>604.64</v>
      </c>
      <c r="G25" s="44">
        <f>'2022 P&amp;L'!M24</f>
        <v>604.58000000000004</v>
      </c>
      <c r="H25" s="44"/>
      <c r="I25" s="43" t="str">
        <f>'2023 P&amp;L'!A25</f>
        <v>Utilities - Waste/Garbage</v>
      </c>
      <c r="J25" s="44">
        <f>'2023 P&amp;L'!C25</f>
        <v>545.16</v>
      </c>
      <c r="K25" s="44">
        <f>'2023 P&amp;L'!D25</f>
        <v>0</v>
      </c>
      <c r="L25" s="44">
        <f>'2023 P&amp;L'!E25</f>
        <v>0</v>
      </c>
      <c r="M25" s="44">
        <f>'2023 P&amp;L'!F25</f>
        <v>1090.32</v>
      </c>
      <c r="N25" s="44">
        <f>'2023 P&amp;L'!G25</f>
        <v>545.16</v>
      </c>
      <c r="O25" s="44">
        <f>'2023 P&amp;L'!H25</f>
        <v>324.75</v>
      </c>
      <c r="P25" s="44">
        <f>'2023 P&amp;L'!I25</f>
        <v>602.99</v>
      </c>
    </row>
    <row r="26" spans="1:17" x14ac:dyDescent="0.2">
      <c r="A26" s="43" t="str">
        <f>'2022 P&amp;L'!A25</f>
        <v>Insurance Expense - GL</v>
      </c>
      <c r="C26" s="44">
        <f>'2022 P&amp;L'!I25</f>
        <v>1355.25</v>
      </c>
      <c r="D26" s="44">
        <f>'2022 P&amp;L'!J25</f>
        <v>1355.25</v>
      </c>
      <c r="E26" s="44">
        <f>'2022 P&amp;L'!K25</f>
        <v>1355.25</v>
      </c>
      <c r="F26" s="44">
        <f>'2022 P&amp;L'!L25</f>
        <v>1355.25</v>
      </c>
      <c r="G26" s="44">
        <f>'2022 P&amp;L'!M25</f>
        <v>1355.25</v>
      </c>
      <c r="H26" s="44"/>
      <c r="I26" s="43" t="str">
        <f>'2023 P&amp;L'!A26</f>
        <v>Utilities - Water</v>
      </c>
      <c r="J26" s="44">
        <f>'2023 P&amp;L'!C26</f>
        <v>497.83</v>
      </c>
      <c r="K26" s="44">
        <f>'2023 P&amp;L'!D26</f>
        <v>0</v>
      </c>
      <c r="L26" s="44">
        <f>'2023 P&amp;L'!E26</f>
        <v>0</v>
      </c>
      <c r="M26" s="44">
        <f>'2023 P&amp;L'!F26</f>
        <v>0</v>
      </c>
      <c r="N26" s="44">
        <f>'2023 P&amp;L'!G26</f>
        <v>441.39</v>
      </c>
      <c r="O26" s="44">
        <f>'2023 P&amp;L'!H26</f>
        <v>482.08</v>
      </c>
      <c r="P26" s="44">
        <f>'2023 P&amp;L'!I26</f>
        <v>1237.9000000000001</v>
      </c>
    </row>
    <row r="27" spans="1:17" x14ac:dyDescent="0.2">
      <c r="A27" s="43" t="str">
        <f>'2022 P&amp;L'!A26</f>
        <v>Interest Expense-other</v>
      </c>
      <c r="C27" s="44">
        <f>'2022 P&amp;L'!I26</f>
        <v>0</v>
      </c>
      <c r="D27" s="44">
        <f>'2022 P&amp;L'!J26</f>
        <v>0</v>
      </c>
      <c r="E27" s="44">
        <f>'2022 P&amp;L'!K26</f>
        <v>0</v>
      </c>
      <c r="F27" s="44">
        <f>'2022 P&amp;L'!L26</f>
        <v>0</v>
      </c>
      <c r="G27" s="44">
        <f>'2022 P&amp;L'!M26</f>
        <v>0</v>
      </c>
      <c r="H27" s="44"/>
      <c r="I27" s="2" t="str">
        <f>'2023 P&amp;L'!A27</f>
        <v>Total Cost of Sales</v>
      </c>
      <c r="J27" s="44">
        <f>'2023 P&amp;L'!C27</f>
        <v>23778.26</v>
      </c>
      <c r="K27" s="44">
        <f>'2023 P&amp;L'!D27</f>
        <v>29207.11</v>
      </c>
      <c r="L27" s="44">
        <f>'2023 P&amp;L'!E27</f>
        <v>46822.039999999994</v>
      </c>
      <c r="M27" s="44">
        <f>'2023 P&amp;L'!F27</f>
        <v>66665.25</v>
      </c>
      <c r="N27" s="44">
        <f>'2023 P&amp;L'!G27</f>
        <v>53131.94</v>
      </c>
      <c r="O27" s="44">
        <f>'2023 P&amp;L'!H27</f>
        <v>73834.7</v>
      </c>
      <c r="P27" s="44">
        <f>'2023 P&amp;L'!I27</f>
        <v>95881.32</v>
      </c>
    </row>
    <row r="28" spans="1:17" x14ac:dyDescent="0.2">
      <c r="A28" s="43" t="str">
        <f>'2022 P&amp;L'!A27</f>
        <v>Loan - Interest Expense</v>
      </c>
      <c r="C28" s="44">
        <f>'2022 P&amp;L'!I27</f>
        <v>10285.5</v>
      </c>
      <c r="D28" s="44">
        <f>'2022 P&amp;L'!J27</f>
        <v>10238.49</v>
      </c>
      <c r="E28" s="44">
        <f>'2022 P&amp;L'!K27</f>
        <v>9862.5499999999993</v>
      </c>
      <c r="F28" s="44">
        <f>'2022 P&amp;L'!L27</f>
        <v>10142.5</v>
      </c>
      <c r="G28" s="44">
        <f>'2022 P&amp;L'!M27</f>
        <v>9769.24</v>
      </c>
      <c r="H28" s="44">
        <f>SUM(C28:G28)</f>
        <v>50298.279999999992</v>
      </c>
      <c r="I28" s="2" t="str">
        <f>'2023 P&amp;L'!A28</f>
        <v>Gross Profit</v>
      </c>
      <c r="J28" s="44">
        <f>'2023 P&amp;L'!C28</f>
        <v>64021.229999999996</v>
      </c>
      <c r="K28" s="44">
        <f>'2023 P&amp;L'!D28</f>
        <v>23883.419999999991</v>
      </c>
      <c r="L28" s="44">
        <f>'2023 P&amp;L'!E28</f>
        <v>65212.890000000014</v>
      </c>
      <c r="M28" s="44">
        <f>'2023 P&amp;L'!F28</f>
        <v>36166.349999999991</v>
      </c>
      <c r="N28" s="44">
        <f>'2023 P&amp;L'!G28</f>
        <v>56646.639999999985</v>
      </c>
      <c r="O28" s="44">
        <f>'2023 P&amp;L'!H28</f>
        <v>103566.08</v>
      </c>
      <c r="P28" s="44">
        <f>'2023 P&amp;L'!I28</f>
        <v>110944.07999999999</v>
      </c>
    </row>
    <row r="29" spans="1:17" x14ac:dyDescent="0.2">
      <c r="A29" s="43" t="str">
        <f>'2022 P&amp;L'!A28</f>
        <v>Licenses Expense</v>
      </c>
      <c r="C29" s="44">
        <f>'2022 P&amp;L'!I28</f>
        <v>0</v>
      </c>
      <c r="D29" s="44">
        <f>'2022 P&amp;L'!J28</f>
        <v>0</v>
      </c>
      <c r="E29" s="44">
        <f>'2022 P&amp;L'!K28</f>
        <v>0</v>
      </c>
      <c r="F29" s="44">
        <f>'2022 P&amp;L'!L28</f>
        <v>0</v>
      </c>
      <c r="G29" s="44">
        <f>'2022 P&amp;L'!M28</f>
        <v>23.5</v>
      </c>
      <c r="H29" s="44"/>
      <c r="I29" s="2" t="str">
        <f>'2023 P&amp;L'!A29</f>
        <v>Expenses</v>
      </c>
      <c r="J29" s="44"/>
      <c r="K29" s="44"/>
      <c r="L29" s="44"/>
      <c r="M29" s="44"/>
      <c r="N29" s="44"/>
      <c r="O29" s="44"/>
      <c r="P29" s="44"/>
    </row>
    <row r="30" spans="1:17" x14ac:dyDescent="0.2">
      <c r="A30" s="43" t="str">
        <f>'2022 P&amp;L'!A29</f>
        <v>Management Fees - Asset</v>
      </c>
      <c r="C30" s="44">
        <f>'2022 P&amp;L'!I29</f>
        <v>8855.8799999999992</v>
      </c>
      <c r="D30" s="44">
        <f>'2022 P&amp;L'!J29</f>
        <v>6103.63</v>
      </c>
      <c r="E30" s="44">
        <f>'2022 P&amp;L'!K29</f>
        <v>3674.18</v>
      </c>
      <c r="F30" s="44">
        <f>'2022 P&amp;L'!L29</f>
        <v>3780.74</v>
      </c>
      <c r="G30" s="44">
        <f>'2022 P&amp;L'!M29</f>
        <v>2667.92</v>
      </c>
      <c r="H30" s="44">
        <f>SUM(C30:G30)</f>
        <v>25082.35</v>
      </c>
      <c r="I30" s="43" t="str">
        <f>'2023 P&amp;L'!A30</f>
        <v>Bank Charges</v>
      </c>
      <c r="J30" s="44">
        <f>'2023 P&amp;L'!C30</f>
        <v>0</v>
      </c>
      <c r="K30" s="44">
        <f>'2023 P&amp;L'!D30</f>
        <v>0</v>
      </c>
      <c r="L30" s="44">
        <f>'2023 P&amp;L'!E30</f>
        <v>0</v>
      </c>
      <c r="M30" s="44">
        <f>'2023 P&amp;L'!F30</f>
        <v>25</v>
      </c>
      <c r="N30" s="44">
        <f>'2023 P&amp;L'!G30</f>
        <v>25</v>
      </c>
      <c r="O30" s="44">
        <f>'2023 P&amp;L'!H30</f>
        <v>15</v>
      </c>
      <c r="P30" s="44">
        <f>'2023 P&amp;L'!I30</f>
        <v>15</v>
      </c>
    </row>
    <row r="31" spans="1:17" x14ac:dyDescent="0.2">
      <c r="A31" s="43" t="str">
        <f>'2022 P&amp;L'!A30</f>
        <v>Miscellaneous</v>
      </c>
      <c r="C31" s="44">
        <f>'2022 P&amp;L'!I30</f>
        <v>175.34</v>
      </c>
      <c r="D31" s="44">
        <f>'2022 P&amp;L'!J30</f>
        <v>0</v>
      </c>
      <c r="E31" s="44">
        <f>'2022 P&amp;L'!K30</f>
        <v>0</v>
      </c>
      <c r="F31" s="44">
        <f>'2022 P&amp;L'!L30</f>
        <v>0</v>
      </c>
      <c r="G31" s="44">
        <f>'2022 P&amp;L'!M30</f>
        <v>388.09</v>
      </c>
      <c r="H31" s="44"/>
      <c r="I31" s="43" t="str">
        <f>'2023 P&amp;L'!A31</f>
        <v>Insurance Expense-Prop</v>
      </c>
      <c r="J31" s="44">
        <f>'2023 P&amp;L'!C31</f>
        <v>2202.34</v>
      </c>
      <c r="K31" s="44">
        <f>'2023 P&amp;L'!D31</f>
        <v>2202.34</v>
      </c>
      <c r="L31" s="44">
        <f>'2023 P&amp;L'!E31</f>
        <v>2382.67</v>
      </c>
      <c r="M31" s="44">
        <f>'2023 P&amp;L'!F31</f>
        <v>2382.67</v>
      </c>
      <c r="N31" s="44">
        <f>'2023 P&amp;L'!G31</f>
        <v>2382.67</v>
      </c>
      <c r="O31" s="44">
        <f>'2023 P&amp;L'!H31</f>
        <v>2382.67</v>
      </c>
      <c r="P31" s="44">
        <f>'2023 P&amp;L'!I31</f>
        <v>2827.75</v>
      </c>
    </row>
    <row r="32" spans="1:17" x14ac:dyDescent="0.2">
      <c r="A32" s="43" t="str">
        <f>'2022 P&amp;L'!A31</f>
        <v>Property Tax Expense</v>
      </c>
      <c r="C32" s="44">
        <f>'2022 P&amp;L'!I31</f>
        <v>610</v>
      </c>
      <c r="D32" s="44">
        <f>'2022 P&amp;L'!J31</f>
        <v>610</v>
      </c>
      <c r="E32" s="44">
        <f>'2022 P&amp;L'!K31</f>
        <v>610</v>
      </c>
      <c r="F32" s="44">
        <f>'2022 P&amp;L'!L31</f>
        <v>610</v>
      </c>
      <c r="G32" s="44">
        <f>'2022 P&amp;L'!M31</f>
        <v>4581.16</v>
      </c>
      <c r="H32" s="44"/>
      <c r="I32" s="43" t="str">
        <f>'2023 P&amp;L'!A32</f>
        <v>Insurance Expense - Flood</v>
      </c>
      <c r="J32" s="44">
        <f>'2023 P&amp;L'!C32</f>
        <v>533.70000000000005</v>
      </c>
      <c r="K32" s="44">
        <f>'2023 P&amp;L'!D32</f>
        <v>533.70000000000005</v>
      </c>
      <c r="L32" s="44">
        <f>'2023 P&amp;L'!E32</f>
        <v>536.83000000000004</v>
      </c>
      <c r="M32" s="44">
        <f>'2023 P&amp;L'!F32</f>
        <v>536.83000000000004</v>
      </c>
      <c r="N32" s="44">
        <f>'2023 P&amp;L'!G32</f>
        <v>536.83000000000004</v>
      </c>
      <c r="O32" s="44">
        <f>'2023 P&amp;L'!H32</f>
        <v>536.83000000000004</v>
      </c>
      <c r="P32" s="44">
        <f>'2023 P&amp;L'!I32</f>
        <v>536.83000000000004</v>
      </c>
    </row>
    <row r="33" spans="1:17" x14ac:dyDescent="0.2">
      <c r="A33" s="43" t="str">
        <f>'2022 P&amp;L'!A32</f>
        <v>Bus Personal Tax</v>
      </c>
      <c r="C33" s="44">
        <f>'2022 P&amp;L'!I32</f>
        <v>80</v>
      </c>
      <c r="D33" s="44">
        <f>'2022 P&amp;L'!J32</f>
        <v>80</v>
      </c>
      <c r="E33" s="44">
        <f>'2022 P&amp;L'!K32</f>
        <v>80</v>
      </c>
      <c r="F33" s="44">
        <f>'2022 P&amp;L'!L32</f>
        <v>80</v>
      </c>
      <c r="G33" s="44">
        <f>'2022 P&amp;L'!M32</f>
        <v>170.88</v>
      </c>
      <c r="H33" s="44"/>
      <c r="I33" s="43" t="str">
        <f>'2023 P&amp;L'!A33</f>
        <v>Insurance Expense - GL</v>
      </c>
      <c r="J33" s="44">
        <f>'2023 P&amp;L'!C33</f>
        <v>1355.25</v>
      </c>
      <c r="K33" s="44">
        <f>'2023 P&amp;L'!D33</f>
        <v>1355.25</v>
      </c>
      <c r="L33" s="44">
        <f>'2023 P&amp;L'!E33</f>
        <v>1355.25</v>
      </c>
      <c r="M33" s="44">
        <f>'2023 P&amp;L'!F33</f>
        <v>1355.25</v>
      </c>
      <c r="N33" s="44">
        <f>'2023 P&amp;L'!G33</f>
        <v>1355.25</v>
      </c>
      <c r="O33" s="44">
        <f>'2023 P&amp;L'!H33</f>
        <v>1630.71</v>
      </c>
      <c r="P33" s="44">
        <f>'2023 P&amp;L'!I33</f>
        <v>1630.71</v>
      </c>
    </row>
    <row r="34" spans="1:17" x14ac:dyDescent="0.2">
      <c r="A34" s="2" t="str">
        <f>'2022 P&amp;L'!A33</f>
        <v>Total Expenses</v>
      </c>
      <c r="C34" s="44">
        <f>'2022 P&amp;L'!I33</f>
        <v>24183.95</v>
      </c>
      <c r="D34" s="44">
        <f>'2022 P&amp;L'!J33</f>
        <v>21194.35</v>
      </c>
      <c r="E34" s="44">
        <f>'2022 P&amp;L'!K33</f>
        <v>18403.96</v>
      </c>
      <c r="F34" s="44">
        <f>'2022 P&amp;L'!L33</f>
        <v>18820.47</v>
      </c>
      <c r="G34" s="44">
        <f>'2022 P&amp;L'!M33</f>
        <v>21777.96</v>
      </c>
      <c r="H34" s="44"/>
      <c r="I34" s="43" t="str">
        <f>'2023 P&amp;L'!A34</f>
        <v>Interest Expense-Refi</v>
      </c>
      <c r="J34" s="44">
        <f>'2023 P&amp;L'!C34</f>
        <v>0</v>
      </c>
      <c r="K34" s="44">
        <f>'2023 P&amp;L'!D34</f>
        <v>0</v>
      </c>
      <c r="L34" s="44">
        <f>'2023 P&amp;L'!E34</f>
        <v>42251.72</v>
      </c>
      <c r="M34" s="44">
        <f>'2023 P&amp;L'!F34</f>
        <v>0</v>
      </c>
      <c r="N34" s="44">
        <f>'2023 P&amp;L'!G34</f>
        <v>0</v>
      </c>
      <c r="O34" s="44">
        <f>'2023 P&amp;L'!H34</f>
        <v>0</v>
      </c>
      <c r="P34" s="44">
        <f>'2023 P&amp;L'!I34</f>
        <v>0</v>
      </c>
      <c r="Q34" s="44">
        <f>SUM(J34:P34)</f>
        <v>42251.72</v>
      </c>
    </row>
    <row r="35" spans="1:17" x14ac:dyDescent="0.2">
      <c r="A35" s="2" t="str">
        <f>'2022 P&amp;L'!A34</f>
        <v>Net Income</v>
      </c>
      <c r="C35" s="44">
        <f>'2022 P&amp;L'!I34</f>
        <v>94499.14</v>
      </c>
      <c r="D35" s="44">
        <f>'2022 P&amp;L'!J34</f>
        <v>55172.719999999994</v>
      </c>
      <c r="E35" s="44">
        <f>'2022 P&amp;L'!K34</f>
        <v>28026.340000000011</v>
      </c>
      <c r="F35" s="44">
        <f>'2022 P&amp;L'!L34</f>
        <v>31141.11</v>
      </c>
      <c r="G35" s="44">
        <f>'2022 P&amp;L'!M34</f>
        <v>-2359.6200000000026</v>
      </c>
      <c r="H35" s="44">
        <f>SUM(H7:H34)</f>
        <v>84000.62999999999</v>
      </c>
      <c r="I35" s="43" t="str">
        <f>'2023 P&amp;L'!A35</f>
        <v>Loan - Interest Expense</v>
      </c>
      <c r="J35" s="44">
        <f>'2023 P&amp;L'!C35</f>
        <v>10045.700000000001</v>
      </c>
      <c r="K35" s="44">
        <f>'2023 P&amp;L'!D35</f>
        <v>9997.67</v>
      </c>
      <c r="L35" s="44">
        <f>'2023 P&amp;L'!E35</f>
        <v>0</v>
      </c>
      <c r="M35" s="44">
        <f>'2023 P&amp;L'!F35</f>
        <v>0</v>
      </c>
      <c r="N35" s="44">
        <f>'2023 P&amp;L'!G35</f>
        <v>0</v>
      </c>
      <c r="O35" s="44">
        <f>'2023 P&amp;L'!H35</f>
        <v>0</v>
      </c>
      <c r="P35" s="44">
        <f>'2023 P&amp;L'!I35</f>
        <v>0</v>
      </c>
      <c r="Q35" s="44">
        <f>SUM(J35:P35)</f>
        <v>20043.370000000003</v>
      </c>
    </row>
    <row r="36" spans="1:17" x14ac:dyDescent="0.2">
      <c r="C36" s="44"/>
      <c r="D36" s="44"/>
      <c r="E36" s="44"/>
      <c r="F36" s="44"/>
      <c r="G36" s="44"/>
      <c r="H36" s="44"/>
      <c r="I36" s="43" t="str">
        <f>'2023 P&amp;L'!A36</f>
        <v>Interest - Vera</v>
      </c>
      <c r="J36" s="44">
        <f>'2023 P&amp;L'!C36</f>
        <v>0</v>
      </c>
      <c r="K36" s="44">
        <f>'2023 P&amp;L'!D36</f>
        <v>0</v>
      </c>
      <c r="L36" s="44">
        <f>'2023 P&amp;L'!E36</f>
        <v>0</v>
      </c>
      <c r="M36" s="44">
        <f>'2023 P&amp;L'!F36</f>
        <v>17053.36</v>
      </c>
      <c r="N36" s="44">
        <f>'2023 P&amp;L'!G36</f>
        <v>13528.61</v>
      </c>
      <c r="O36" s="44">
        <f>'2023 P&amp;L'!H36</f>
        <v>15494.69</v>
      </c>
      <c r="P36" s="44">
        <f>'2023 P&amp;L'!I36</f>
        <v>14969.99</v>
      </c>
      <c r="Q36" s="44">
        <f>SUM(J36:P36)</f>
        <v>61046.65</v>
      </c>
    </row>
    <row r="37" spans="1:17" x14ac:dyDescent="0.2">
      <c r="A37" s="32" t="s">
        <v>104</v>
      </c>
      <c r="B37" s="44">
        <f>SUM(C7:G7,J8:P8)</f>
        <v>1351408.2499999998</v>
      </c>
      <c r="H37" s="44"/>
      <c r="I37" s="43" t="str">
        <f>'2023 P&amp;L'!A37</f>
        <v>Interest - LOC</v>
      </c>
      <c r="J37" s="44">
        <f>'2023 P&amp;L'!C37</f>
        <v>0</v>
      </c>
      <c r="K37" s="44">
        <f>'2023 P&amp;L'!D37</f>
        <v>0</v>
      </c>
      <c r="L37" s="44">
        <f>'2023 P&amp;L'!E37</f>
        <v>0</v>
      </c>
      <c r="M37" s="44">
        <f>'2023 P&amp;L'!F37</f>
        <v>0</v>
      </c>
      <c r="N37" s="44">
        <f>'2023 P&amp;L'!G37</f>
        <v>1193.68</v>
      </c>
      <c r="O37" s="44">
        <f>'2023 P&amp;L'!H37</f>
        <v>1996.53</v>
      </c>
      <c r="P37" s="44">
        <f>'2023 P&amp;L'!I37</f>
        <v>1927.08</v>
      </c>
      <c r="Q37" s="44">
        <f>SUM(J37:P37)</f>
        <v>5117.29</v>
      </c>
    </row>
    <row r="38" spans="1:17" x14ac:dyDescent="0.2">
      <c r="A38" s="32" t="s">
        <v>53</v>
      </c>
      <c r="B38" s="44">
        <f>SUM(C20:G20,J27:P27)</f>
        <v>580107.17999999993</v>
      </c>
      <c r="H38" s="44"/>
      <c r="I38" s="43" t="str">
        <f>'2023 P&amp;L'!A38</f>
        <v>Legal and Professional Expense</v>
      </c>
      <c r="J38" s="44">
        <f>'2023 P&amp;L'!C38</f>
        <v>0</v>
      </c>
      <c r="K38" s="44">
        <f>'2023 P&amp;L'!D38</f>
        <v>0</v>
      </c>
      <c r="L38" s="44">
        <f>'2023 P&amp;L'!E38</f>
        <v>0</v>
      </c>
      <c r="M38" s="44">
        <f>'2023 P&amp;L'!F38</f>
        <v>0</v>
      </c>
      <c r="N38" s="44">
        <f>'2023 P&amp;L'!G38</f>
        <v>1091.8800000000001</v>
      </c>
      <c r="O38" s="44">
        <f>'2023 P&amp;L'!H38</f>
        <v>0</v>
      </c>
      <c r="P38" s="44">
        <f>'2023 P&amp;L'!I38</f>
        <v>0</v>
      </c>
    </row>
    <row r="39" spans="1:17" x14ac:dyDescent="0.2">
      <c r="A39" s="32" t="s">
        <v>46</v>
      </c>
      <c r="B39" s="44">
        <f>SUM(C34:G34,J42:P42)</f>
        <v>301843.82</v>
      </c>
      <c r="C39" s="44"/>
      <c r="D39" s="44">
        <f>SUM(B38:B39)</f>
        <v>881951</v>
      </c>
      <c r="E39" s="44"/>
      <c r="F39" s="44"/>
      <c r="G39" s="44"/>
      <c r="H39" s="44"/>
      <c r="I39" s="43" t="str">
        <f>'2023 P&amp;L'!A39</f>
        <v>Management Fees - Asset</v>
      </c>
      <c r="J39" s="44">
        <f>'2023 P&amp;L'!C39</f>
        <v>1940.98</v>
      </c>
      <c r="K39" s="44">
        <f>'2023 P&amp;L'!D39</f>
        <v>1625.2</v>
      </c>
      <c r="L39" s="44">
        <f>'2023 P&amp;L'!E39</f>
        <v>3870.17</v>
      </c>
      <c r="M39" s="44">
        <f>'2023 P&amp;L'!F39</f>
        <v>3544.7</v>
      </c>
      <c r="N39" s="44">
        <f>'2023 P&amp;L'!G39</f>
        <v>3922.1</v>
      </c>
      <c r="O39" s="44">
        <f>'2023 P&amp;L'!H39</f>
        <v>6477.59</v>
      </c>
      <c r="P39" s="44">
        <f>'2023 P&amp;L'!I39</f>
        <v>7499.15</v>
      </c>
      <c r="Q39" s="44">
        <f>SUM(J39:P39)</f>
        <v>28879.89</v>
      </c>
    </row>
    <row r="40" spans="1:17" x14ac:dyDescent="0.2">
      <c r="A40" s="32" t="s">
        <v>105</v>
      </c>
      <c r="B40" s="44">
        <f>B37-B38-B39+SUM(H35,Q43)</f>
        <v>721140.79999999981</v>
      </c>
      <c r="C40" s="44"/>
      <c r="D40" s="44">
        <v>461404</v>
      </c>
      <c r="E40" s="44"/>
      <c r="F40" s="44"/>
      <c r="G40" s="44"/>
      <c r="H40" s="44"/>
      <c r="I40" s="43" t="str">
        <f>'2023 P&amp;L'!A40</f>
        <v>Property Tax Expense</v>
      </c>
      <c r="J40" s="44">
        <f>'2023 P&amp;L'!C40</f>
        <v>1100</v>
      </c>
      <c r="K40" s="44">
        <f>'2023 P&amp;L'!D40</f>
        <v>1100</v>
      </c>
      <c r="L40" s="44">
        <f>'2023 P&amp;L'!E40</f>
        <v>1100</v>
      </c>
      <c r="M40" s="44">
        <f>'2023 P&amp;L'!F40</f>
        <v>1100</v>
      </c>
      <c r="N40" s="44">
        <f>'2023 P&amp;L'!G40</f>
        <v>1100</v>
      </c>
      <c r="O40" s="44">
        <f>'2023 P&amp;L'!H40</f>
        <v>1100</v>
      </c>
      <c r="P40" s="44">
        <f>'2023 P&amp;L'!I40</f>
        <v>1100</v>
      </c>
    </row>
    <row r="41" spans="1:17" x14ac:dyDescent="0.2">
      <c r="A41" s="32"/>
      <c r="B41" s="44"/>
      <c r="C41" s="44"/>
      <c r="D41" s="44"/>
      <c r="E41" s="44"/>
      <c r="F41" s="44"/>
      <c r="G41" s="44"/>
      <c r="H41" s="44"/>
      <c r="I41" s="43" t="str">
        <f>'2023 P&amp;L'!A41</f>
        <v>Bus Personal Tax</v>
      </c>
      <c r="J41" s="44">
        <f>'2023 P&amp;L'!C41</f>
        <v>100</v>
      </c>
      <c r="K41" s="44">
        <f>'2023 P&amp;L'!D41</f>
        <v>100</v>
      </c>
      <c r="L41" s="44">
        <f>'2023 P&amp;L'!E41</f>
        <v>100</v>
      </c>
      <c r="M41" s="44">
        <f>'2023 P&amp;L'!F41</f>
        <v>100</v>
      </c>
      <c r="N41" s="44">
        <f>'2023 P&amp;L'!G41</f>
        <v>100</v>
      </c>
      <c r="O41" s="44">
        <f>'2023 P&amp;L'!H41</f>
        <v>100</v>
      </c>
      <c r="P41" s="44">
        <f>'2023 P&amp;L'!I41</f>
        <v>100</v>
      </c>
    </row>
    <row r="42" spans="1:17" x14ac:dyDescent="0.2">
      <c r="A42" s="32"/>
      <c r="B42" s="44"/>
      <c r="C42" s="44"/>
      <c r="D42" s="44"/>
      <c r="E42" s="44"/>
      <c r="F42" s="44"/>
      <c r="G42" s="44"/>
      <c r="H42" s="44"/>
      <c r="I42" s="2" t="str">
        <f>'2023 P&amp;L'!A42</f>
        <v>Total Expenses</v>
      </c>
      <c r="J42" s="44">
        <f>'2023 P&amp;L'!C42</f>
        <v>17277.97</v>
      </c>
      <c r="K42" s="44">
        <f>'2023 P&amp;L'!D42</f>
        <v>16914.16</v>
      </c>
      <c r="L42" s="44">
        <f>'2023 P&amp;L'!E42</f>
        <v>51596.639999999999</v>
      </c>
      <c r="M42" s="44">
        <f>'2023 P&amp;L'!F42</f>
        <v>26097.81</v>
      </c>
      <c r="N42" s="44">
        <f>'2023 P&amp;L'!G42</f>
        <v>25236.02</v>
      </c>
      <c r="O42" s="44">
        <f>'2023 P&amp;L'!H42</f>
        <v>29734.02</v>
      </c>
      <c r="P42" s="44">
        <f>'2023 P&amp;L'!I42</f>
        <v>30606.510000000002</v>
      </c>
    </row>
    <row r="43" spans="1:17" x14ac:dyDescent="0.2">
      <c r="A43" s="32"/>
      <c r="B43" s="44"/>
      <c r="C43" s="44"/>
      <c r="D43" s="44"/>
      <c r="E43" s="44"/>
      <c r="F43" s="44"/>
      <c r="G43" s="44"/>
      <c r="H43" s="44"/>
      <c r="I43" s="2" t="str">
        <f>'2023 P&amp;L'!A43</f>
        <v>Net Income</v>
      </c>
      <c r="J43" s="44">
        <f>'2023 P&amp;L'!C43</f>
        <v>46743.259999999995</v>
      </c>
      <c r="K43" s="44">
        <f>'2023 P&amp;L'!D43</f>
        <v>6969.2599999999911</v>
      </c>
      <c r="L43" s="44">
        <f>'2023 P&amp;L'!E43</f>
        <v>13616.250000000015</v>
      </c>
      <c r="M43" s="44">
        <f>'2023 P&amp;L'!F43</f>
        <v>10068.53999999999</v>
      </c>
      <c r="N43" s="44">
        <f>'2023 P&amp;L'!G43</f>
        <v>31410.619999999984</v>
      </c>
      <c r="O43" s="44">
        <f>'2023 P&amp;L'!H43</f>
        <v>73832.06</v>
      </c>
      <c r="P43" s="44">
        <f>'2023 P&amp;L'!I43</f>
        <v>80337.569999999978</v>
      </c>
      <c r="Q43" s="44">
        <f>SUM(Q9:Q42)</f>
        <v>167682.91999999998</v>
      </c>
    </row>
    <row r="44" spans="1:17" x14ac:dyDescent="0.2">
      <c r="B44" s="44"/>
      <c r="C44" s="44"/>
      <c r="D44" s="44"/>
      <c r="E44" s="44"/>
      <c r="F44" s="44"/>
      <c r="G44" s="44"/>
      <c r="H44" s="44"/>
      <c r="J44" s="44"/>
      <c r="K44" s="44"/>
      <c r="L44" s="44"/>
      <c r="M44" s="44"/>
      <c r="N44" s="44"/>
    </row>
    <row r="45" spans="1:17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7" x14ac:dyDescent="0.2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7" x14ac:dyDescent="0.2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1:17" x14ac:dyDescent="0.2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3:14" x14ac:dyDescent="0.2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3:14" x14ac:dyDescent="0.2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3:14" x14ac:dyDescent="0.2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3:14" x14ac:dyDescent="0.2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3:14" x14ac:dyDescent="0.2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3:14" x14ac:dyDescent="0.2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3:14" x14ac:dyDescent="0.2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</sheetData>
  <pageMargins left="0.25" right="0.25" top="0.75" bottom="0.75" header="0.3" footer="0.3"/>
  <pageSetup scale="6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opLeftCell="A6" workbookViewId="0">
      <selection activeCell="O33" sqref="O33"/>
    </sheetView>
  </sheetViews>
  <sheetFormatPr defaultColWidth="23" defaultRowHeight="12.75" x14ac:dyDescent="0.2"/>
  <cols>
    <col min="1" max="1" width="24.33203125" customWidth="1"/>
    <col min="2" max="6" width="10" bestFit="1" customWidth="1"/>
    <col min="7" max="10" width="11.1640625" bestFit="1" customWidth="1"/>
    <col min="11" max="11" width="10" bestFit="1" customWidth="1"/>
    <col min="12" max="12" width="10.33203125" bestFit="1" customWidth="1"/>
    <col min="13" max="13" width="10" bestFit="1" customWidth="1"/>
    <col min="14" max="14" width="12.83203125" bestFit="1" customWidth="1"/>
    <col min="15" max="15" width="14.1640625" bestFit="1" customWidth="1"/>
  </cols>
  <sheetData>
    <row r="1" spans="1:15" ht="13.5" customHeight="1" x14ac:dyDescent="0.2">
      <c r="A1" s="1"/>
      <c r="B1" s="21" t="s">
        <v>25</v>
      </c>
      <c r="C1" s="21" t="s">
        <v>26</v>
      </c>
      <c r="D1" s="21" t="s">
        <v>27</v>
      </c>
      <c r="E1" s="21" t="s">
        <v>28</v>
      </c>
      <c r="F1" s="21" t="s">
        <v>29</v>
      </c>
      <c r="G1" s="21" t="s">
        <v>30</v>
      </c>
      <c r="H1" s="21" t="s">
        <v>31</v>
      </c>
      <c r="I1" s="21" t="s">
        <v>32</v>
      </c>
      <c r="J1" s="21" t="s">
        <v>33</v>
      </c>
      <c r="K1" s="21" t="s">
        <v>34</v>
      </c>
      <c r="L1" s="21" t="s">
        <v>35</v>
      </c>
      <c r="M1" s="21" t="s">
        <v>36</v>
      </c>
      <c r="N1" s="22" t="s">
        <v>37</v>
      </c>
    </row>
    <row r="2" spans="1:15" ht="13.5" customHeight="1" x14ac:dyDescent="0.2">
      <c r="A2" s="3" t="s">
        <v>44</v>
      </c>
      <c r="B2" s="1"/>
      <c r="C2" s="1"/>
      <c r="D2" s="1"/>
      <c r="E2" s="1"/>
      <c r="F2" s="1"/>
      <c r="G2" s="1"/>
      <c r="N2" s="2"/>
    </row>
    <row r="3" spans="1:15" ht="13.5" customHeight="1" x14ac:dyDescent="0.2">
      <c r="A3" s="17" t="s">
        <v>0</v>
      </c>
      <c r="B3" s="4">
        <v>51868.87</v>
      </c>
      <c r="C3" s="4">
        <v>41486.06</v>
      </c>
      <c r="D3" s="4">
        <v>36078.449999999997</v>
      </c>
      <c r="E3" s="4">
        <v>85438.32</v>
      </c>
      <c r="F3" s="4">
        <v>71122.44</v>
      </c>
      <c r="G3" s="4">
        <v>101698.15</v>
      </c>
      <c r="H3" s="4">
        <v>153538.74</v>
      </c>
      <c r="I3" s="4">
        <v>166266.53</v>
      </c>
      <c r="J3" s="4">
        <v>114008.62</v>
      </c>
      <c r="K3" s="4">
        <v>67904.69</v>
      </c>
      <c r="L3" s="4">
        <v>70574.720000000001</v>
      </c>
      <c r="M3" s="4">
        <v>51272.12</v>
      </c>
      <c r="N3" s="5">
        <f t="shared" ref="N3:N32" si="0">SUM(B3:M3)</f>
        <v>1011257.7100000001</v>
      </c>
    </row>
    <row r="4" spans="1:15" ht="13.5" customHeight="1" x14ac:dyDescent="0.2">
      <c r="A4" s="17" t="s">
        <v>1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123.96</v>
      </c>
      <c r="L4" s="4">
        <v>0</v>
      </c>
      <c r="M4" s="4">
        <v>0</v>
      </c>
      <c r="N4" s="5">
        <f t="shared" si="0"/>
        <v>123.96</v>
      </c>
    </row>
    <row r="5" spans="1:15" ht="13.7" customHeight="1" x14ac:dyDescent="0.2">
      <c r="A5" s="17" t="s">
        <v>2</v>
      </c>
      <c r="B5" s="4">
        <v>0</v>
      </c>
      <c r="C5" s="4">
        <v>1570</v>
      </c>
      <c r="D5" s="4">
        <v>364</v>
      </c>
      <c r="E5" s="4">
        <v>9376</v>
      </c>
      <c r="F5" s="4">
        <v>9477</v>
      </c>
      <c r="G5" s="4">
        <v>9585</v>
      </c>
      <c r="H5" s="4">
        <v>10301</v>
      </c>
      <c r="I5" s="4">
        <v>10851</v>
      </c>
      <c r="J5" s="4">
        <v>8064</v>
      </c>
      <c r="K5" s="4">
        <v>5455</v>
      </c>
      <c r="L5" s="4">
        <v>5040</v>
      </c>
      <c r="M5" s="4">
        <v>2086.3000000000002</v>
      </c>
      <c r="N5" s="5">
        <f t="shared" si="0"/>
        <v>72169.3</v>
      </c>
    </row>
    <row r="6" spans="1:15" ht="21.95" customHeight="1" x14ac:dyDescent="0.2">
      <c r="A6" s="20" t="s">
        <v>38</v>
      </c>
      <c r="B6" s="6">
        <f>SUM(B3:B5)</f>
        <v>51868.87</v>
      </c>
      <c r="C6" s="6">
        <f t="shared" ref="C6:M6" si="1">SUM(C3:C5)</f>
        <v>43056.06</v>
      </c>
      <c r="D6" s="6">
        <f t="shared" si="1"/>
        <v>36442.449999999997</v>
      </c>
      <c r="E6" s="6">
        <f t="shared" si="1"/>
        <v>94814.32</v>
      </c>
      <c r="F6" s="6">
        <f t="shared" si="1"/>
        <v>80599.44</v>
      </c>
      <c r="G6" s="6">
        <f t="shared" si="1"/>
        <v>111283.15</v>
      </c>
      <c r="H6" s="6">
        <f t="shared" si="1"/>
        <v>163839.74</v>
      </c>
      <c r="I6" s="6">
        <f t="shared" si="1"/>
        <v>177117.53</v>
      </c>
      <c r="J6" s="6">
        <f t="shared" si="1"/>
        <v>122072.62</v>
      </c>
      <c r="K6" s="6">
        <f t="shared" si="1"/>
        <v>73483.650000000009</v>
      </c>
      <c r="L6" s="6">
        <f t="shared" si="1"/>
        <v>75614.720000000001</v>
      </c>
      <c r="M6" s="6">
        <f t="shared" si="1"/>
        <v>53358.420000000006</v>
      </c>
      <c r="N6" s="5">
        <f t="shared" si="0"/>
        <v>1083550.97</v>
      </c>
    </row>
    <row r="7" spans="1:15" ht="30.2" customHeight="1" x14ac:dyDescent="0.2">
      <c r="A7" s="19" t="s">
        <v>45</v>
      </c>
      <c r="B7" s="7"/>
      <c r="C7" s="7"/>
      <c r="D7" s="7"/>
      <c r="E7" s="7"/>
      <c r="F7" s="7"/>
      <c r="G7" s="7"/>
      <c r="H7" s="8"/>
      <c r="I7" s="8"/>
      <c r="J7" s="8"/>
      <c r="K7" s="8"/>
      <c r="L7" s="8"/>
      <c r="M7" s="8"/>
      <c r="N7" s="5"/>
    </row>
    <row r="8" spans="1:15" ht="13.5" customHeight="1" x14ac:dyDescent="0.2">
      <c r="A8" s="17" t="s">
        <v>3</v>
      </c>
      <c r="B8" s="4">
        <v>1507.82</v>
      </c>
      <c r="C8" s="4">
        <v>1339.53</v>
      </c>
      <c r="D8" s="4">
        <v>1132.0999999999999</v>
      </c>
      <c r="E8" s="4">
        <v>0</v>
      </c>
      <c r="F8" s="4">
        <v>0</v>
      </c>
      <c r="G8" s="4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5">
        <f t="shared" si="0"/>
        <v>3979.45</v>
      </c>
    </row>
    <row r="9" spans="1:15" ht="13.5" customHeight="1" x14ac:dyDescent="0.2">
      <c r="A9" s="17" t="s">
        <v>4</v>
      </c>
      <c r="B9" s="4">
        <v>2641.84</v>
      </c>
      <c r="C9" s="4">
        <v>2712.14</v>
      </c>
      <c r="D9" s="4">
        <v>1442.85</v>
      </c>
      <c r="E9" s="4">
        <v>11179.5</v>
      </c>
      <c r="F9" s="4">
        <v>5797.36</v>
      </c>
      <c r="G9" s="4">
        <v>1835.91</v>
      </c>
      <c r="H9" s="4">
        <v>3847.62</v>
      </c>
      <c r="I9" s="4">
        <v>2874.67</v>
      </c>
      <c r="J9" s="4">
        <v>2468.64</v>
      </c>
      <c r="K9" s="4">
        <v>2707.08</v>
      </c>
      <c r="L9" s="4">
        <v>1521.86</v>
      </c>
      <c r="M9" s="4">
        <v>1038.45</v>
      </c>
      <c r="N9" s="5">
        <f t="shared" si="0"/>
        <v>40067.919999999998</v>
      </c>
    </row>
    <row r="10" spans="1:15" ht="13.5" customHeight="1" x14ac:dyDescent="0.2">
      <c r="A10" s="17" t="s">
        <v>5</v>
      </c>
      <c r="B10" s="4">
        <v>747.38</v>
      </c>
      <c r="C10" s="4">
        <v>281.45</v>
      </c>
      <c r="D10" s="4">
        <v>0</v>
      </c>
      <c r="E10" s="4">
        <v>3126.75</v>
      </c>
      <c r="F10" s="4">
        <v>425.86</v>
      </c>
      <c r="G10" s="4">
        <v>0</v>
      </c>
      <c r="H10" s="4">
        <v>0</v>
      </c>
      <c r="I10" s="4">
        <v>2968.66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7550.0999999999995</v>
      </c>
    </row>
    <row r="11" spans="1:15" ht="13.5" customHeight="1" x14ac:dyDescent="0.2">
      <c r="A11" s="18" t="s">
        <v>6</v>
      </c>
      <c r="B11" s="14">
        <v>0</v>
      </c>
      <c r="C11" s="14">
        <v>0</v>
      </c>
      <c r="D11" s="14">
        <v>0</v>
      </c>
      <c r="E11" s="14">
        <v>0</v>
      </c>
      <c r="F11" s="14">
        <v>774.05</v>
      </c>
      <c r="G11" s="14">
        <v>1724</v>
      </c>
      <c r="H11" s="14">
        <v>1724</v>
      </c>
      <c r="I11" s="14">
        <v>1724</v>
      </c>
      <c r="J11" s="14">
        <v>1724</v>
      </c>
      <c r="K11" s="14">
        <v>1724</v>
      </c>
      <c r="L11" s="14">
        <v>1724</v>
      </c>
      <c r="M11" s="14">
        <v>1724</v>
      </c>
      <c r="N11" s="15">
        <f t="shared" si="0"/>
        <v>12842.05</v>
      </c>
      <c r="O11" s="16">
        <f>N11</f>
        <v>12842.05</v>
      </c>
    </row>
    <row r="12" spans="1:15" ht="13.5" customHeight="1" x14ac:dyDescent="0.2">
      <c r="A12" s="17" t="s">
        <v>7</v>
      </c>
      <c r="B12" s="4">
        <v>2244.1799999999998</v>
      </c>
      <c r="C12" s="4">
        <v>2765</v>
      </c>
      <c r="D12" s="4">
        <v>0</v>
      </c>
      <c r="E12" s="4">
        <v>2870</v>
      </c>
      <c r="F12" s="4">
        <v>6511</v>
      </c>
      <c r="G12" s="4">
        <v>1978.75</v>
      </c>
      <c r="H12" s="4">
        <v>1283.75</v>
      </c>
      <c r="I12" s="4">
        <v>3536.26</v>
      </c>
      <c r="J12" s="4">
        <v>3340</v>
      </c>
      <c r="K12" s="4">
        <v>0</v>
      </c>
      <c r="L12" s="4">
        <v>0</v>
      </c>
      <c r="M12" s="4">
        <v>9495</v>
      </c>
      <c r="N12" s="5">
        <f t="shared" si="0"/>
        <v>34023.94</v>
      </c>
    </row>
    <row r="13" spans="1:15" ht="13.5" customHeight="1" x14ac:dyDescent="0.2">
      <c r="A13" s="17" t="s">
        <v>8</v>
      </c>
      <c r="B13" s="4">
        <v>12967.22</v>
      </c>
      <c r="C13" s="4">
        <v>10371.52</v>
      </c>
      <c r="D13" s="4">
        <v>9019.6299999999992</v>
      </c>
      <c r="E13" s="4">
        <v>21359.599999999999</v>
      </c>
      <c r="F13" s="4">
        <v>17780.62</v>
      </c>
      <c r="G13" s="4">
        <v>25195.040000000001</v>
      </c>
      <c r="H13" s="4">
        <v>38384.69</v>
      </c>
      <c r="I13" s="4">
        <v>41566.629999999997</v>
      </c>
      <c r="J13" s="4">
        <v>28502.16</v>
      </c>
      <c r="K13" s="4">
        <v>16976.169999999998</v>
      </c>
      <c r="L13" s="4">
        <v>17630.73</v>
      </c>
      <c r="M13" s="4">
        <v>12818.03</v>
      </c>
      <c r="N13" s="5">
        <f t="shared" si="0"/>
        <v>252572.04000000004</v>
      </c>
    </row>
    <row r="14" spans="1:15" ht="13.5" customHeight="1" x14ac:dyDescent="0.2">
      <c r="A14" s="17" t="s">
        <v>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500</v>
      </c>
      <c r="I14" s="4">
        <v>0</v>
      </c>
      <c r="J14" s="4">
        <v>3375.45</v>
      </c>
      <c r="K14" s="4">
        <v>0</v>
      </c>
      <c r="L14" s="4">
        <v>0</v>
      </c>
      <c r="M14" s="4">
        <v>4897.43</v>
      </c>
      <c r="N14" s="5">
        <f t="shared" si="0"/>
        <v>8772.880000000001</v>
      </c>
    </row>
    <row r="15" spans="1:15" ht="13.5" customHeight="1" x14ac:dyDescent="0.2">
      <c r="A15" s="17" t="s">
        <v>10</v>
      </c>
      <c r="B15" s="4">
        <v>811.88</v>
      </c>
      <c r="C15" s="4">
        <v>849.76</v>
      </c>
      <c r="D15" s="4">
        <v>763.16</v>
      </c>
      <c r="E15" s="4">
        <v>811.88</v>
      </c>
      <c r="F15" s="4">
        <v>849.76</v>
      </c>
      <c r="G15" s="4">
        <v>1093.32</v>
      </c>
      <c r="H15" s="4">
        <v>1093.33</v>
      </c>
      <c r="I15" s="4">
        <v>1093.32</v>
      </c>
      <c r="J15" s="4">
        <v>1055.44</v>
      </c>
      <c r="K15" s="4">
        <v>1055.44</v>
      </c>
      <c r="L15" s="4">
        <v>1055.44</v>
      </c>
      <c r="M15" s="4">
        <v>378.88</v>
      </c>
      <c r="N15" s="5">
        <f t="shared" si="0"/>
        <v>10911.609999999999</v>
      </c>
    </row>
    <row r="16" spans="1:15" ht="13.5" customHeight="1" x14ac:dyDescent="0.2">
      <c r="A16" s="17" t="s">
        <v>11</v>
      </c>
      <c r="B16" s="4">
        <v>1856.66</v>
      </c>
      <c r="C16" s="4">
        <v>2121.2399999999998</v>
      </c>
      <c r="D16" s="4">
        <v>1332.12</v>
      </c>
      <c r="E16" s="4">
        <v>2602.12</v>
      </c>
      <c r="F16" s="4">
        <v>2458.5500000000002</v>
      </c>
      <c r="G16" s="4">
        <v>2819.74</v>
      </c>
      <c r="H16" s="4">
        <v>3199.38</v>
      </c>
      <c r="I16" s="4">
        <v>3608.29</v>
      </c>
      <c r="J16" s="4">
        <v>4123.04</v>
      </c>
      <c r="K16" s="4">
        <v>3477.12</v>
      </c>
      <c r="L16" s="4">
        <v>2632.54</v>
      </c>
      <c r="M16" s="4">
        <v>2447.0700000000002</v>
      </c>
      <c r="N16" s="5">
        <f t="shared" si="0"/>
        <v>32677.87</v>
      </c>
    </row>
    <row r="17" spans="1:16" ht="13.5" customHeight="1" x14ac:dyDescent="0.2">
      <c r="A17" s="17" t="s">
        <v>12</v>
      </c>
      <c r="B17" s="4">
        <v>451.89</v>
      </c>
      <c r="C17" s="4">
        <v>417.45</v>
      </c>
      <c r="D17" s="4">
        <v>451.89</v>
      </c>
      <c r="E17" s="4">
        <v>451.89</v>
      </c>
      <c r="F17" s="4">
        <v>524.19000000000005</v>
      </c>
      <c r="G17" s="4">
        <v>524.19000000000005</v>
      </c>
      <c r="H17" s="4">
        <v>545.16</v>
      </c>
      <c r="I17" s="4">
        <v>545.16</v>
      </c>
      <c r="J17" s="4">
        <v>545.19000000000005</v>
      </c>
      <c r="K17" s="4">
        <v>545.16</v>
      </c>
      <c r="L17" s="4">
        <v>545.16</v>
      </c>
      <c r="M17" s="4">
        <v>545.16</v>
      </c>
      <c r="N17" s="5">
        <f t="shared" si="0"/>
        <v>6092.49</v>
      </c>
    </row>
    <row r="18" spans="1:16" ht="13.7" customHeight="1" x14ac:dyDescent="0.2">
      <c r="A18" s="17" t="s">
        <v>13</v>
      </c>
      <c r="B18" s="4">
        <v>468.83</v>
      </c>
      <c r="C18" s="4">
        <v>434</v>
      </c>
      <c r="D18" s="4">
        <v>890.53</v>
      </c>
      <c r="E18" s="4">
        <v>571.74</v>
      </c>
      <c r="F18" s="4">
        <v>494.57</v>
      </c>
      <c r="G18" s="4">
        <v>522.26</v>
      </c>
      <c r="H18" s="4">
        <v>483.72</v>
      </c>
      <c r="I18" s="4">
        <v>517.45000000000005</v>
      </c>
      <c r="J18" s="4">
        <v>571.63</v>
      </c>
      <c r="K18" s="4">
        <v>568.38</v>
      </c>
      <c r="L18" s="4">
        <v>543.41</v>
      </c>
      <c r="M18" s="4">
        <v>596.05999999999995</v>
      </c>
      <c r="N18" s="5">
        <f t="shared" si="0"/>
        <v>6662.58</v>
      </c>
    </row>
    <row r="19" spans="1:16" ht="21.95" customHeight="1" x14ac:dyDescent="0.2">
      <c r="A19" s="20" t="s">
        <v>39</v>
      </c>
      <c r="B19" s="6">
        <f>SUM(B8:B18)</f>
        <v>23697.7</v>
      </c>
      <c r="C19" s="6">
        <f t="shared" ref="C19:M19" si="2">SUM(C8:C18)</f>
        <v>21292.09</v>
      </c>
      <c r="D19" s="6">
        <f t="shared" si="2"/>
        <v>15032.279999999997</v>
      </c>
      <c r="E19" s="6">
        <f t="shared" si="2"/>
        <v>42973.479999999996</v>
      </c>
      <c r="F19" s="6">
        <f t="shared" si="2"/>
        <v>35615.96</v>
      </c>
      <c r="G19" s="6">
        <f t="shared" si="2"/>
        <v>35693.210000000006</v>
      </c>
      <c r="H19" s="6">
        <f t="shared" si="2"/>
        <v>51061.650000000009</v>
      </c>
      <c r="I19" s="6">
        <f t="shared" si="2"/>
        <v>58434.44</v>
      </c>
      <c r="J19" s="6">
        <f t="shared" si="2"/>
        <v>45705.55</v>
      </c>
      <c r="K19" s="6">
        <f t="shared" si="2"/>
        <v>27053.35</v>
      </c>
      <c r="L19" s="6">
        <f t="shared" si="2"/>
        <v>25653.14</v>
      </c>
      <c r="M19" s="6">
        <f t="shared" si="2"/>
        <v>33940.080000000009</v>
      </c>
      <c r="N19" s="5">
        <f t="shared" si="0"/>
        <v>416152.93</v>
      </c>
    </row>
    <row r="20" spans="1:16" ht="21.95" customHeight="1" x14ac:dyDescent="0.2">
      <c r="A20" s="20" t="s">
        <v>40</v>
      </c>
      <c r="B20" s="6">
        <f>SUM(B6,-B19)</f>
        <v>28171.170000000002</v>
      </c>
      <c r="C20" s="6">
        <f t="shared" ref="C20:M20" si="3">SUM(C6,-C19)</f>
        <v>21763.969999999998</v>
      </c>
      <c r="D20" s="6">
        <f t="shared" si="3"/>
        <v>21410.17</v>
      </c>
      <c r="E20" s="6">
        <f t="shared" si="3"/>
        <v>51840.840000000011</v>
      </c>
      <c r="F20" s="6">
        <f t="shared" si="3"/>
        <v>44983.48</v>
      </c>
      <c r="G20" s="6">
        <f t="shared" si="3"/>
        <v>75589.939999999988</v>
      </c>
      <c r="H20" s="6">
        <f t="shared" si="3"/>
        <v>112778.08999999998</v>
      </c>
      <c r="I20" s="6">
        <f t="shared" si="3"/>
        <v>118683.09</v>
      </c>
      <c r="J20" s="6">
        <f t="shared" si="3"/>
        <v>76367.069999999992</v>
      </c>
      <c r="K20" s="6">
        <f t="shared" si="3"/>
        <v>46430.30000000001</v>
      </c>
      <c r="L20" s="6">
        <f t="shared" si="3"/>
        <v>49961.58</v>
      </c>
      <c r="M20" s="6">
        <f t="shared" si="3"/>
        <v>19418.339999999997</v>
      </c>
      <c r="N20" s="5">
        <f>SUM(B20:M20)</f>
        <v>667398.03999999992</v>
      </c>
    </row>
    <row r="21" spans="1:16" ht="19.350000000000001" customHeight="1" x14ac:dyDescent="0.2">
      <c r="A21" s="3" t="s">
        <v>46</v>
      </c>
      <c r="B21" s="7"/>
      <c r="C21" s="7"/>
      <c r="D21" s="7"/>
      <c r="E21" s="7"/>
      <c r="F21" s="7"/>
      <c r="G21" s="7"/>
      <c r="H21" s="8"/>
      <c r="I21" s="8"/>
      <c r="J21" s="8"/>
      <c r="K21" s="8"/>
      <c r="L21" s="8"/>
      <c r="M21" s="8"/>
      <c r="N21" s="5"/>
    </row>
    <row r="22" spans="1:16" ht="13.5" customHeight="1" x14ac:dyDescent="0.2">
      <c r="A22" s="17" t="s">
        <v>14</v>
      </c>
      <c r="B22" s="4">
        <v>17.5</v>
      </c>
      <c r="C22" s="4">
        <v>10</v>
      </c>
      <c r="D22" s="4">
        <v>2.5</v>
      </c>
      <c r="E22" s="4">
        <v>25</v>
      </c>
      <c r="F22" s="4">
        <v>25</v>
      </c>
      <c r="G22" s="4">
        <v>15</v>
      </c>
      <c r="H22" s="10">
        <v>15</v>
      </c>
      <c r="I22" s="10">
        <v>15</v>
      </c>
      <c r="J22" s="10">
        <v>0</v>
      </c>
      <c r="K22" s="10">
        <v>15</v>
      </c>
      <c r="L22" s="10">
        <v>45</v>
      </c>
      <c r="M22" s="10">
        <v>15</v>
      </c>
      <c r="N22" s="5">
        <f t="shared" si="0"/>
        <v>200</v>
      </c>
      <c r="O22" s="11">
        <f>N22</f>
        <v>200</v>
      </c>
      <c r="P22" s="11"/>
    </row>
    <row r="23" spans="1:16" ht="13.5" customHeight="1" x14ac:dyDescent="0.2">
      <c r="A23" s="17" t="s">
        <v>15</v>
      </c>
      <c r="B23" s="4">
        <v>2393.04</v>
      </c>
      <c r="C23" s="4">
        <v>0</v>
      </c>
      <c r="D23" s="4">
        <v>2202.34</v>
      </c>
      <c r="E23" s="4">
        <v>2202.34</v>
      </c>
      <c r="F23" s="4">
        <v>2202.34</v>
      </c>
      <c r="G23" s="4">
        <v>2202.34</v>
      </c>
      <c r="H23" s="4">
        <v>2202.34</v>
      </c>
      <c r="I23" s="4">
        <v>2202.34</v>
      </c>
      <c r="J23" s="4">
        <v>2202.34</v>
      </c>
      <c r="K23" s="4">
        <v>2202.34</v>
      </c>
      <c r="L23" s="4">
        <v>2202.34</v>
      </c>
      <c r="M23" s="4">
        <v>2202.34</v>
      </c>
      <c r="N23" s="5">
        <f t="shared" si="0"/>
        <v>24416.440000000002</v>
      </c>
    </row>
    <row r="24" spans="1:16" ht="13.5" customHeight="1" x14ac:dyDescent="0.2">
      <c r="A24" s="17" t="s">
        <v>16</v>
      </c>
      <c r="B24" s="4">
        <v>439.33</v>
      </c>
      <c r="C24" s="4">
        <v>0</v>
      </c>
      <c r="D24" s="4">
        <v>746.39</v>
      </c>
      <c r="E24" s="4">
        <v>520.27</v>
      </c>
      <c r="F24" s="4">
        <v>796.15</v>
      </c>
      <c r="G24" s="4">
        <v>604.64</v>
      </c>
      <c r="H24" s="4">
        <v>604.64</v>
      </c>
      <c r="I24" s="4">
        <v>604.64</v>
      </c>
      <c r="J24" s="4">
        <v>604.64</v>
      </c>
      <c r="K24" s="4">
        <v>604.64</v>
      </c>
      <c r="L24" s="4">
        <v>604.64</v>
      </c>
      <c r="M24" s="4">
        <v>604.58000000000004</v>
      </c>
      <c r="N24" s="5">
        <f t="shared" si="0"/>
        <v>6734.56</v>
      </c>
    </row>
    <row r="25" spans="1:16" ht="13.5" customHeight="1" x14ac:dyDescent="0.2">
      <c r="A25" s="17" t="s">
        <v>17</v>
      </c>
      <c r="B25" s="4">
        <v>915.91</v>
      </c>
      <c r="C25" s="4">
        <v>915.91</v>
      </c>
      <c r="D25" s="4">
        <v>915.91</v>
      </c>
      <c r="E25" s="4">
        <v>915.91</v>
      </c>
      <c r="F25" s="4">
        <v>915.9</v>
      </c>
      <c r="G25" s="4">
        <v>1355.25</v>
      </c>
      <c r="H25" s="4">
        <v>1355.25</v>
      </c>
      <c r="I25" s="4">
        <v>1355.25</v>
      </c>
      <c r="J25" s="4">
        <v>1355.25</v>
      </c>
      <c r="K25" s="4">
        <v>1355.25</v>
      </c>
      <c r="L25" s="4">
        <v>1355.25</v>
      </c>
      <c r="M25" s="4">
        <v>1355.25</v>
      </c>
      <c r="N25" s="5">
        <f t="shared" si="0"/>
        <v>14066.29</v>
      </c>
    </row>
    <row r="26" spans="1:16" ht="13.5" customHeight="1" x14ac:dyDescent="0.2">
      <c r="A26" s="17" t="s">
        <v>18</v>
      </c>
      <c r="B26" s="4">
        <v>0</v>
      </c>
      <c r="C26" s="4">
        <v>0</v>
      </c>
      <c r="D26" s="4">
        <v>36.67</v>
      </c>
      <c r="E26" s="4">
        <v>0</v>
      </c>
      <c r="F26" s="4">
        <v>135.96</v>
      </c>
      <c r="G26" s="4">
        <v>107.46</v>
      </c>
      <c r="H26" s="4">
        <v>-27.53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0"/>
        <v>252.55999999999997</v>
      </c>
      <c r="O26" s="11">
        <f>N26</f>
        <v>252.55999999999997</v>
      </c>
      <c r="P26" s="11"/>
    </row>
    <row r="27" spans="1:16" ht="13.5" customHeight="1" x14ac:dyDescent="0.2">
      <c r="A27" s="17" t="s">
        <v>19</v>
      </c>
      <c r="B27" s="4">
        <v>10620.52</v>
      </c>
      <c r="C27" s="4">
        <v>10576.29</v>
      </c>
      <c r="D27" s="4">
        <v>9509.07</v>
      </c>
      <c r="E27" s="4">
        <v>10474.34</v>
      </c>
      <c r="F27" s="4">
        <v>10091.75</v>
      </c>
      <c r="G27" s="4">
        <v>10380.31</v>
      </c>
      <c r="H27" s="4">
        <v>10000.370000000001</v>
      </c>
      <c r="I27" s="4">
        <v>10285.5</v>
      </c>
      <c r="J27" s="4">
        <v>10238.49</v>
      </c>
      <c r="K27" s="4">
        <v>9862.5499999999993</v>
      </c>
      <c r="L27" s="4">
        <v>10142.5</v>
      </c>
      <c r="M27" s="4">
        <v>9769.24</v>
      </c>
      <c r="N27" s="5">
        <f t="shared" si="0"/>
        <v>121950.93000000001</v>
      </c>
      <c r="O27" s="11">
        <f>N27</f>
        <v>121950.93000000001</v>
      </c>
    </row>
    <row r="28" spans="1:16" ht="13.5" customHeight="1" x14ac:dyDescent="0.2">
      <c r="A28" s="17" t="s">
        <v>20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23.5</v>
      </c>
      <c r="N28" s="5">
        <f t="shared" si="0"/>
        <v>23.5</v>
      </c>
    </row>
    <row r="29" spans="1:16" ht="13.5" customHeight="1" x14ac:dyDescent="0.2">
      <c r="A29" s="17" t="s">
        <v>21</v>
      </c>
      <c r="B29" s="4">
        <v>2593.44</v>
      </c>
      <c r="C29" s="4">
        <v>2152.8000000000002</v>
      </c>
      <c r="D29" s="4">
        <v>1822.12</v>
      </c>
      <c r="E29" s="4">
        <v>4740.72</v>
      </c>
      <c r="F29" s="4">
        <v>4029.97</v>
      </c>
      <c r="G29" s="4">
        <v>5564.16</v>
      </c>
      <c r="H29" s="4">
        <v>8191.99</v>
      </c>
      <c r="I29" s="4">
        <v>8855.8799999999992</v>
      </c>
      <c r="J29" s="4">
        <v>6103.63</v>
      </c>
      <c r="K29" s="4">
        <v>3674.18</v>
      </c>
      <c r="L29" s="4">
        <v>3780.74</v>
      </c>
      <c r="M29" s="4">
        <v>2667.92</v>
      </c>
      <c r="N29" s="5">
        <f t="shared" si="0"/>
        <v>54177.549999999988</v>
      </c>
      <c r="O29" s="11">
        <f>N29</f>
        <v>54177.549999999988</v>
      </c>
    </row>
    <row r="30" spans="1:16" ht="13.5" customHeight="1" x14ac:dyDescent="0.2">
      <c r="A30" s="17" t="s">
        <v>22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175.34</v>
      </c>
      <c r="J30" s="4">
        <v>0</v>
      </c>
      <c r="K30" s="4">
        <v>0</v>
      </c>
      <c r="L30" s="4">
        <v>0</v>
      </c>
      <c r="M30" s="4">
        <v>388.09</v>
      </c>
      <c r="N30" s="5">
        <f t="shared" si="0"/>
        <v>563.42999999999995</v>
      </c>
      <c r="O30" s="11">
        <f>N30</f>
        <v>563.42999999999995</v>
      </c>
    </row>
    <row r="31" spans="1:16" ht="13.5" customHeight="1" x14ac:dyDescent="0.2">
      <c r="A31" s="17" t="s">
        <v>23</v>
      </c>
      <c r="B31" s="4">
        <v>610</v>
      </c>
      <c r="C31" s="4">
        <v>610</v>
      </c>
      <c r="D31" s="4">
        <v>610</v>
      </c>
      <c r="E31" s="4">
        <v>610</v>
      </c>
      <c r="F31" s="4">
        <v>610</v>
      </c>
      <c r="G31" s="4">
        <v>610</v>
      </c>
      <c r="H31" s="4">
        <v>610</v>
      </c>
      <c r="I31" s="4">
        <v>610</v>
      </c>
      <c r="J31" s="4">
        <v>610</v>
      </c>
      <c r="K31" s="4">
        <v>610</v>
      </c>
      <c r="L31" s="4">
        <v>610</v>
      </c>
      <c r="M31" s="4">
        <v>4581.16</v>
      </c>
      <c r="N31" s="5">
        <f t="shared" si="0"/>
        <v>11291.16</v>
      </c>
      <c r="P31" s="11"/>
    </row>
    <row r="32" spans="1:16" ht="13.7" customHeight="1" x14ac:dyDescent="0.2">
      <c r="A32" s="17" t="s">
        <v>24</v>
      </c>
      <c r="B32" s="4">
        <v>65</v>
      </c>
      <c r="C32" s="4">
        <v>65</v>
      </c>
      <c r="D32" s="4">
        <v>80</v>
      </c>
      <c r="E32" s="4">
        <v>80</v>
      </c>
      <c r="F32" s="4">
        <v>80</v>
      </c>
      <c r="G32" s="4">
        <v>80</v>
      </c>
      <c r="H32" s="4">
        <v>80</v>
      </c>
      <c r="I32" s="4">
        <v>80</v>
      </c>
      <c r="J32" s="4">
        <v>80</v>
      </c>
      <c r="K32" s="4">
        <v>80</v>
      </c>
      <c r="L32" s="4">
        <v>80</v>
      </c>
      <c r="M32" s="4">
        <v>170.88</v>
      </c>
      <c r="N32" s="5">
        <f t="shared" si="0"/>
        <v>1020.88</v>
      </c>
    </row>
    <row r="33" spans="1:15" ht="23.25" customHeight="1" x14ac:dyDescent="0.2">
      <c r="A33" s="20" t="s">
        <v>41</v>
      </c>
      <c r="B33" s="6">
        <f>SUM(B22:B32)</f>
        <v>17654.739999999998</v>
      </c>
      <c r="C33" s="6">
        <v>14330</v>
      </c>
      <c r="D33" s="6">
        <v>15925</v>
      </c>
      <c r="E33" s="6">
        <v>19568.580000000002</v>
      </c>
      <c r="F33" s="6">
        <v>18887.07</v>
      </c>
      <c r="G33" s="6">
        <v>20919.16</v>
      </c>
      <c r="H33" s="6">
        <v>23032.06</v>
      </c>
      <c r="I33" s="6">
        <v>24183.95</v>
      </c>
      <c r="J33" s="6">
        <v>21194.35</v>
      </c>
      <c r="K33" s="6">
        <v>18403.96</v>
      </c>
      <c r="L33" s="6">
        <v>18820.47</v>
      </c>
      <c r="M33" s="6">
        <v>21777.96</v>
      </c>
      <c r="N33" s="5">
        <f>SUM(B33:M33)</f>
        <v>234697.30000000002</v>
      </c>
      <c r="O33" s="11">
        <f>SUM(O22:O32,O8:O20)</f>
        <v>189986.51999999996</v>
      </c>
    </row>
    <row r="34" spans="1:15" x14ac:dyDescent="0.2">
      <c r="A34" s="3" t="s">
        <v>42</v>
      </c>
      <c r="B34" s="6">
        <f t="shared" ref="B34:M34" si="4">SUM(B20,-B33)</f>
        <v>10516.430000000004</v>
      </c>
      <c r="C34" s="6">
        <f t="shared" si="4"/>
        <v>7433.9699999999975</v>
      </c>
      <c r="D34" s="6">
        <f t="shared" si="4"/>
        <v>5485.1699999999983</v>
      </c>
      <c r="E34" s="6">
        <f t="shared" si="4"/>
        <v>32272.260000000009</v>
      </c>
      <c r="F34" s="6">
        <f t="shared" si="4"/>
        <v>26096.410000000003</v>
      </c>
      <c r="G34" s="6">
        <f t="shared" si="4"/>
        <v>54670.779999999984</v>
      </c>
      <c r="H34" s="6">
        <f t="shared" si="4"/>
        <v>89746.029999999984</v>
      </c>
      <c r="I34" s="6">
        <f t="shared" si="4"/>
        <v>94499.14</v>
      </c>
      <c r="J34" s="6">
        <f t="shared" si="4"/>
        <v>55172.719999999994</v>
      </c>
      <c r="K34" s="6">
        <f t="shared" si="4"/>
        <v>28026.340000000011</v>
      </c>
      <c r="L34" s="6">
        <f t="shared" si="4"/>
        <v>31141.11</v>
      </c>
      <c r="M34" s="6">
        <f t="shared" si="4"/>
        <v>-2359.6200000000026</v>
      </c>
      <c r="N34" s="5">
        <f>SUM(B34:M34)</f>
        <v>432700.74</v>
      </c>
      <c r="O34" s="11">
        <f>SUM(N34,O33)</f>
        <v>622687.26</v>
      </c>
    </row>
    <row r="35" spans="1:15" x14ac:dyDescent="0.2">
      <c r="O35" s="33"/>
    </row>
  </sheetData>
  <phoneticPr fontId="4" type="noConversion"/>
  <pageMargins left="0.25" right="0.25" top="0.75" bottom="0.75" header="0.3" footer="0.3"/>
  <pageSetup scale="8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057D-A46D-447D-BF14-0260B81A4394}">
  <sheetPr>
    <pageSetUpPr fitToPage="1"/>
  </sheetPr>
  <dimension ref="A1:J79"/>
  <sheetViews>
    <sheetView workbookViewId="0">
      <selection activeCell="I43" sqref="A1:I43"/>
    </sheetView>
  </sheetViews>
  <sheetFormatPr defaultRowHeight="12.75" x14ac:dyDescent="0.2"/>
  <cols>
    <col min="1" max="1" width="31" style="38" bestFit="1" customWidth="1"/>
    <col min="2" max="2" width="16.1640625" style="38" customWidth="1"/>
    <col min="3" max="3" width="10.6640625" style="38" bestFit="1" customWidth="1"/>
    <col min="4" max="4" width="9.1640625" style="38" bestFit="1" customWidth="1"/>
    <col min="5" max="9" width="10.1640625" style="38" bestFit="1" customWidth="1"/>
    <col min="10" max="16384" width="9.33203125" style="38"/>
  </cols>
  <sheetData>
    <row r="1" spans="1:9" ht="13.5" customHeight="1" x14ac:dyDescent="0.2">
      <c r="C1" s="39" t="s">
        <v>25</v>
      </c>
      <c r="D1" s="39" t="s">
        <v>26</v>
      </c>
      <c r="E1" s="39" t="s">
        <v>27</v>
      </c>
      <c r="F1" s="39" t="s">
        <v>28</v>
      </c>
      <c r="G1" s="39" t="s">
        <v>29</v>
      </c>
      <c r="H1" s="39" t="s">
        <v>30</v>
      </c>
      <c r="I1" s="39" t="s">
        <v>31</v>
      </c>
    </row>
    <row r="2" spans="1:9" ht="13.5" customHeight="1" x14ac:dyDescent="0.2">
      <c r="A2" s="37" t="s">
        <v>44</v>
      </c>
      <c r="B2" s="39"/>
    </row>
    <row r="3" spans="1:9" ht="13.5" customHeight="1" x14ac:dyDescent="0.2">
      <c r="A3" s="39" t="s">
        <v>0</v>
      </c>
      <c r="B3" s="39"/>
      <c r="C3" s="41">
        <v>43829.52</v>
      </c>
      <c r="D3" s="41">
        <v>36964.839999999997</v>
      </c>
      <c r="E3" s="41">
        <v>88729.600000000006</v>
      </c>
      <c r="F3" s="41">
        <v>81223.929999999993</v>
      </c>
      <c r="G3" s="41">
        <v>89792.34</v>
      </c>
      <c r="H3" s="41">
        <v>148341.39000000001</v>
      </c>
      <c r="I3" s="41">
        <v>172005.44</v>
      </c>
    </row>
    <row r="4" spans="1:9" ht="13.5" customHeight="1" x14ac:dyDescent="0.2">
      <c r="A4" s="39" t="s">
        <v>80</v>
      </c>
      <c r="B4" s="39"/>
      <c r="C4" s="41">
        <v>11605.75</v>
      </c>
      <c r="D4" s="41">
        <v>12267.81</v>
      </c>
      <c r="E4" s="41">
        <v>15472.97</v>
      </c>
      <c r="F4" s="41">
        <v>15837.96</v>
      </c>
      <c r="G4" s="41">
        <v>15004.81</v>
      </c>
      <c r="H4" s="41">
        <v>15056.3</v>
      </c>
      <c r="I4" s="41">
        <v>19162.490000000002</v>
      </c>
    </row>
    <row r="5" spans="1:9" ht="13.5" customHeight="1" x14ac:dyDescent="0.2">
      <c r="A5" s="39" t="s">
        <v>2</v>
      </c>
      <c r="B5" s="39"/>
      <c r="C5" s="41">
        <v>846</v>
      </c>
      <c r="D5" s="41">
        <v>2772</v>
      </c>
      <c r="E5" s="41">
        <v>4608</v>
      </c>
      <c r="F5" s="41">
        <v>2448</v>
      </c>
      <c r="G5" s="41">
        <v>2106</v>
      </c>
      <c r="H5" s="41">
        <v>8892</v>
      </c>
      <c r="I5" s="41">
        <v>9972</v>
      </c>
    </row>
    <row r="6" spans="1:9" ht="13.5" customHeight="1" x14ac:dyDescent="0.2">
      <c r="A6" s="39" t="s">
        <v>81</v>
      </c>
      <c r="B6" s="39"/>
      <c r="C6" s="41">
        <v>1174.5999999999999</v>
      </c>
      <c r="D6" s="41">
        <v>1085.8800000000001</v>
      </c>
      <c r="E6" s="41">
        <v>3224.36</v>
      </c>
      <c r="F6" s="41">
        <v>3321.71</v>
      </c>
      <c r="G6" s="41">
        <v>2875.43</v>
      </c>
      <c r="H6" s="41">
        <v>5111.09</v>
      </c>
      <c r="I6" s="41">
        <v>5685.47</v>
      </c>
    </row>
    <row r="7" spans="1:9" ht="13.7" customHeight="1" x14ac:dyDescent="0.2">
      <c r="A7" s="39" t="s">
        <v>82</v>
      </c>
      <c r="B7" s="39"/>
      <c r="C7" s="41">
        <v>30343.62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</row>
    <row r="8" spans="1:9" ht="21.95" customHeight="1" x14ac:dyDescent="0.2">
      <c r="A8" s="39" t="s">
        <v>83</v>
      </c>
      <c r="B8" s="39"/>
      <c r="C8" s="41">
        <f>SUM(C3:C7)</f>
        <v>87799.489999999991</v>
      </c>
      <c r="D8" s="41">
        <f t="shared" ref="D8:I8" si="0">SUM(D3:D7)</f>
        <v>53090.529999999992</v>
      </c>
      <c r="E8" s="41">
        <f t="shared" si="0"/>
        <v>112034.93000000001</v>
      </c>
      <c r="F8" s="41">
        <f t="shared" si="0"/>
        <v>102831.59999999999</v>
      </c>
      <c r="G8" s="41">
        <f t="shared" si="0"/>
        <v>109778.57999999999</v>
      </c>
      <c r="H8" s="41">
        <f t="shared" si="0"/>
        <v>177400.78</v>
      </c>
      <c r="I8" s="41">
        <f t="shared" si="0"/>
        <v>206825.4</v>
      </c>
    </row>
    <row r="9" spans="1:9" ht="30.2" customHeight="1" x14ac:dyDescent="0.2">
      <c r="A9" s="37" t="s">
        <v>45</v>
      </c>
      <c r="B9" s="39"/>
      <c r="C9" s="42"/>
      <c r="D9" s="42"/>
      <c r="E9" s="42"/>
      <c r="F9" s="42"/>
      <c r="G9" s="42"/>
      <c r="H9" s="42"/>
      <c r="I9" s="42"/>
    </row>
    <row r="10" spans="1:9" ht="13.5" customHeight="1" x14ac:dyDescent="0.2">
      <c r="A10" s="39" t="s">
        <v>3</v>
      </c>
      <c r="B10" s="39"/>
      <c r="C10" s="41">
        <v>0</v>
      </c>
      <c r="D10" s="41">
        <v>1062.19</v>
      </c>
      <c r="E10" s="41">
        <v>2563.52</v>
      </c>
      <c r="F10" s="41">
        <v>4539.78</v>
      </c>
      <c r="G10" s="41">
        <v>5013.3100000000004</v>
      </c>
      <c r="H10" s="41">
        <v>5257.07</v>
      </c>
      <c r="I10" s="41">
        <v>5345.7</v>
      </c>
    </row>
    <row r="11" spans="1:9" ht="13.5" customHeight="1" x14ac:dyDescent="0.2">
      <c r="A11" s="39" t="s">
        <v>84</v>
      </c>
      <c r="B11" s="39"/>
      <c r="C11" s="41">
        <v>0</v>
      </c>
      <c r="D11" s="41">
        <v>2800.64</v>
      </c>
      <c r="E11" s="41">
        <v>2885.62</v>
      </c>
      <c r="F11" s="41">
        <v>15620.41</v>
      </c>
      <c r="G11" s="41">
        <v>1296.5</v>
      </c>
      <c r="H11" s="41">
        <v>9818.9699999999993</v>
      </c>
      <c r="I11" s="41">
        <v>26447.58</v>
      </c>
    </row>
    <row r="12" spans="1:9" ht="13.5" customHeight="1" x14ac:dyDescent="0.2">
      <c r="A12" s="39" t="s">
        <v>85</v>
      </c>
      <c r="B12" s="39"/>
      <c r="C12" s="41">
        <v>0</v>
      </c>
      <c r="D12" s="41">
        <v>0</v>
      </c>
      <c r="E12" s="41">
        <v>373.22</v>
      </c>
      <c r="F12" s="41">
        <v>0</v>
      </c>
      <c r="G12" s="41">
        <v>1016.23</v>
      </c>
      <c r="H12" s="41">
        <v>0</v>
      </c>
      <c r="I12" s="41">
        <v>582.89</v>
      </c>
    </row>
    <row r="13" spans="1:9" ht="13.5" customHeight="1" x14ac:dyDescent="0.2">
      <c r="A13" s="39" t="s">
        <v>4</v>
      </c>
      <c r="B13" s="39"/>
      <c r="C13" s="41">
        <v>1818.32</v>
      </c>
      <c r="D13" s="41">
        <v>1011.3</v>
      </c>
      <c r="E13" s="41">
        <v>0</v>
      </c>
      <c r="F13" s="41">
        <v>627.78</v>
      </c>
      <c r="G13" s="41">
        <v>1728.21</v>
      </c>
      <c r="H13" s="41">
        <v>3292.33</v>
      </c>
      <c r="I13" s="41">
        <v>2614.44</v>
      </c>
    </row>
    <row r="14" spans="1:9" ht="13.5" customHeight="1" x14ac:dyDescent="0.2">
      <c r="A14" s="39" t="s">
        <v>86</v>
      </c>
      <c r="B14" s="39"/>
      <c r="C14" s="41">
        <v>0</v>
      </c>
      <c r="D14" s="41">
        <v>0</v>
      </c>
      <c r="E14" s="41">
        <v>435</v>
      </c>
      <c r="F14" s="41">
        <v>0</v>
      </c>
      <c r="G14" s="41">
        <v>0</v>
      </c>
      <c r="H14" s="41">
        <v>0</v>
      </c>
      <c r="I14" s="41">
        <v>0</v>
      </c>
    </row>
    <row r="15" spans="1:9" ht="13.5" customHeight="1" x14ac:dyDescent="0.2">
      <c r="A15" s="39" t="s">
        <v>87</v>
      </c>
      <c r="B15" s="39"/>
      <c r="C15" s="41">
        <v>0</v>
      </c>
      <c r="D15" s="41">
        <v>10044</v>
      </c>
      <c r="E15" s="41">
        <v>14739</v>
      </c>
      <c r="F15" s="41">
        <v>15536.72</v>
      </c>
      <c r="G15" s="41">
        <v>14899</v>
      </c>
      <c r="H15" s="41">
        <v>15024</v>
      </c>
      <c r="I15" s="41">
        <v>16018</v>
      </c>
    </row>
    <row r="16" spans="1:9" ht="13.5" customHeight="1" x14ac:dyDescent="0.2">
      <c r="A16" s="39" t="s">
        <v>88</v>
      </c>
      <c r="B16" s="39"/>
      <c r="C16" s="41">
        <v>0</v>
      </c>
      <c r="D16" s="41">
        <v>480</v>
      </c>
      <c r="E16" s="41">
        <v>1680</v>
      </c>
      <c r="F16" s="41">
        <v>0</v>
      </c>
      <c r="G16" s="41">
        <v>1553.75</v>
      </c>
      <c r="H16" s="41">
        <v>0</v>
      </c>
      <c r="I16" s="41">
        <v>0</v>
      </c>
    </row>
    <row r="17" spans="1:10" ht="13.5" customHeight="1" x14ac:dyDescent="0.2">
      <c r="A17" s="39" t="s">
        <v>89</v>
      </c>
      <c r="B17" s="39"/>
      <c r="C17" s="41">
        <v>0</v>
      </c>
      <c r="D17" s="41">
        <v>0</v>
      </c>
      <c r="E17" s="41">
        <v>0</v>
      </c>
      <c r="F17" s="41">
        <v>1182.76</v>
      </c>
      <c r="G17" s="41">
        <v>1178.8800000000001</v>
      </c>
      <c r="H17" s="41">
        <v>2000</v>
      </c>
      <c r="I17" s="41">
        <v>1600</v>
      </c>
    </row>
    <row r="18" spans="1:10" ht="13.5" customHeight="1" x14ac:dyDescent="0.2">
      <c r="A18" s="39" t="s">
        <v>90</v>
      </c>
      <c r="B18" s="39"/>
      <c r="C18" s="41">
        <v>0</v>
      </c>
      <c r="D18" s="41">
        <v>0</v>
      </c>
      <c r="E18" s="41">
        <v>0</v>
      </c>
      <c r="F18" s="41">
        <v>2229.12</v>
      </c>
      <c r="G18" s="41">
        <v>0</v>
      </c>
      <c r="H18" s="41">
        <v>0</v>
      </c>
      <c r="I18" s="41">
        <v>0</v>
      </c>
    </row>
    <row r="19" spans="1:10" ht="13.5" customHeight="1" x14ac:dyDescent="0.2">
      <c r="A19" s="39" t="s">
        <v>6</v>
      </c>
      <c r="B19" s="39"/>
      <c r="C19" s="41">
        <v>1724</v>
      </c>
      <c r="D19" s="41">
        <v>3448</v>
      </c>
      <c r="E19" s="41">
        <v>0</v>
      </c>
      <c r="F19" s="41">
        <v>1724</v>
      </c>
      <c r="G19" s="41">
        <v>1724</v>
      </c>
      <c r="H19" s="41">
        <v>1724</v>
      </c>
      <c r="I19" s="41">
        <v>0</v>
      </c>
      <c r="J19" s="42"/>
    </row>
    <row r="20" spans="1:10" ht="13.5" customHeight="1" x14ac:dyDescent="0.2">
      <c r="A20" s="39" t="s">
        <v>91</v>
      </c>
      <c r="B20" s="39"/>
      <c r="C20" s="41">
        <v>0</v>
      </c>
      <c r="D20" s="41">
        <v>0</v>
      </c>
      <c r="E20" s="41">
        <v>1000</v>
      </c>
      <c r="F20" s="41">
        <v>3528.11</v>
      </c>
      <c r="G20" s="41">
        <v>2100</v>
      </c>
      <c r="H20" s="41">
        <v>365.81</v>
      </c>
      <c r="I20" s="41">
        <v>991.19</v>
      </c>
    </row>
    <row r="21" spans="1:10" ht="13.5" customHeight="1" x14ac:dyDescent="0.2">
      <c r="A21" s="39" t="s">
        <v>92</v>
      </c>
      <c r="B21" s="39"/>
      <c r="C21" s="41">
        <v>9704.8799999999992</v>
      </c>
      <c r="D21" s="41">
        <v>8125.98</v>
      </c>
      <c r="E21" s="41">
        <v>19350.87</v>
      </c>
      <c r="F21" s="41">
        <v>17723.5</v>
      </c>
      <c r="G21" s="41">
        <v>19610.509999999998</v>
      </c>
      <c r="H21" s="41">
        <v>32387.94</v>
      </c>
      <c r="I21" s="41">
        <v>37495.75</v>
      </c>
    </row>
    <row r="22" spans="1:10" ht="13.5" customHeight="1" x14ac:dyDescent="0.2">
      <c r="A22" s="39" t="s">
        <v>93</v>
      </c>
      <c r="B22" s="39"/>
      <c r="C22" s="41">
        <v>6500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</row>
    <row r="23" spans="1:10" ht="13.5" customHeight="1" x14ac:dyDescent="0.2">
      <c r="A23" s="39" t="s">
        <v>10</v>
      </c>
      <c r="B23" s="39"/>
      <c r="C23" s="41">
        <v>866</v>
      </c>
      <c r="D23" s="41">
        <v>0</v>
      </c>
      <c r="E23" s="41">
        <v>1217.81</v>
      </c>
      <c r="F23" s="41">
        <v>757.75</v>
      </c>
      <c r="G23" s="41">
        <v>0</v>
      </c>
      <c r="H23" s="41">
        <v>757.75</v>
      </c>
      <c r="I23" s="41">
        <v>811.88</v>
      </c>
    </row>
    <row r="24" spans="1:10" ht="13.5" customHeight="1" x14ac:dyDescent="0.2">
      <c r="A24" s="39" t="s">
        <v>11</v>
      </c>
      <c r="B24" s="39"/>
      <c r="C24" s="41">
        <v>2122.0700000000002</v>
      </c>
      <c r="D24" s="41">
        <v>2235</v>
      </c>
      <c r="E24" s="41">
        <v>2577</v>
      </c>
      <c r="F24" s="41">
        <v>2105</v>
      </c>
      <c r="G24" s="41">
        <v>2025</v>
      </c>
      <c r="H24" s="41">
        <v>2400</v>
      </c>
      <c r="I24" s="41">
        <v>2133</v>
      </c>
    </row>
    <row r="25" spans="1:10" ht="13.5" customHeight="1" x14ac:dyDescent="0.2">
      <c r="A25" s="39" t="s">
        <v>94</v>
      </c>
      <c r="B25" s="39"/>
      <c r="C25" s="41">
        <v>545.16</v>
      </c>
      <c r="D25" s="41">
        <v>0</v>
      </c>
      <c r="E25" s="41">
        <v>0</v>
      </c>
      <c r="F25" s="41">
        <v>1090.32</v>
      </c>
      <c r="G25" s="41">
        <v>545.16</v>
      </c>
      <c r="H25" s="41">
        <v>324.75</v>
      </c>
      <c r="I25" s="41">
        <v>602.99</v>
      </c>
    </row>
    <row r="26" spans="1:10" ht="13.7" customHeight="1" x14ac:dyDescent="0.2">
      <c r="A26" s="39" t="s">
        <v>13</v>
      </c>
      <c r="B26" s="39"/>
      <c r="C26" s="41">
        <v>497.83</v>
      </c>
      <c r="D26" s="41">
        <v>0</v>
      </c>
      <c r="E26" s="41">
        <v>0</v>
      </c>
      <c r="F26" s="41">
        <v>0</v>
      </c>
      <c r="G26" s="41">
        <v>441.39</v>
      </c>
      <c r="H26" s="41">
        <v>482.08</v>
      </c>
      <c r="I26" s="41">
        <v>1237.9000000000001</v>
      </c>
    </row>
    <row r="27" spans="1:10" ht="21.95" customHeight="1" x14ac:dyDescent="0.2">
      <c r="A27" s="39" t="s">
        <v>95</v>
      </c>
      <c r="B27" s="39"/>
      <c r="C27" s="41">
        <f>SUM(C10:C26)</f>
        <v>23778.26</v>
      </c>
      <c r="D27" s="41">
        <f t="shared" ref="D27:I27" si="1">SUM(D10:D26)</f>
        <v>29207.11</v>
      </c>
      <c r="E27" s="41">
        <f t="shared" si="1"/>
        <v>46822.039999999994</v>
      </c>
      <c r="F27" s="41">
        <f t="shared" si="1"/>
        <v>66665.25</v>
      </c>
      <c r="G27" s="41">
        <f t="shared" si="1"/>
        <v>53131.94</v>
      </c>
      <c r="H27" s="41">
        <f t="shared" si="1"/>
        <v>73834.7</v>
      </c>
      <c r="I27" s="41">
        <f t="shared" si="1"/>
        <v>95881.32</v>
      </c>
    </row>
    <row r="28" spans="1:10" ht="21.95" customHeight="1" x14ac:dyDescent="0.2">
      <c r="A28" s="39" t="s">
        <v>96</v>
      </c>
      <c r="B28" s="39"/>
      <c r="C28" s="41">
        <f>SUM(C8,-C27)</f>
        <v>64021.229999999996</v>
      </c>
      <c r="D28" s="41">
        <f t="shared" ref="D28:I28" si="2">SUM(D8,-D27)</f>
        <v>23883.419999999991</v>
      </c>
      <c r="E28" s="41">
        <f t="shared" si="2"/>
        <v>65212.890000000014</v>
      </c>
      <c r="F28" s="41">
        <f t="shared" si="2"/>
        <v>36166.349999999991</v>
      </c>
      <c r="G28" s="41">
        <f t="shared" si="2"/>
        <v>56646.639999999985</v>
      </c>
      <c r="H28" s="41">
        <f t="shared" si="2"/>
        <v>103566.08</v>
      </c>
      <c r="I28" s="41">
        <f t="shared" si="2"/>
        <v>110944.07999999999</v>
      </c>
    </row>
    <row r="29" spans="1:10" ht="19.350000000000001" customHeight="1" x14ac:dyDescent="0.2">
      <c r="A29" s="39" t="s">
        <v>97</v>
      </c>
      <c r="B29" s="39"/>
      <c r="C29" s="42"/>
      <c r="D29" s="42"/>
      <c r="E29" s="42"/>
      <c r="F29" s="42"/>
      <c r="G29" s="42"/>
      <c r="H29" s="42"/>
      <c r="I29" s="42"/>
    </row>
    <row r="30" spans="1:10" ht="13.5" customHeight="1" x14ac:dyDescent="0.2">
      <c r="A30" s="39" t="s">
        <v>14</v>
      </c>
      <c r="B30" s="39"/>
      <c r="C30" s="41">
        <v>0</v>
      </c>
      <c r="D30" s="41">
        <v>0</v>
      </c>
      <c r="E30" s="41">
        <v>0</v>
      </c>
      <c r="F30" s="41">
        <v>25</v>
      </c>
      <c r="G30" s="41">
        <v>25</v>
      </c>
      <c r="H30" s="41">
        <v>15</v>
      </c>
      <c r="I30" s="41">
        <v>15</v>
      </c>
    </row>
    <row r="31" spans="1:10" ht="13.5" customHeight="1" x14ac:dyDescent="0.2">
      <c r="A31" s="39" t="s">
        <v>15</v>
      </c>
      <c r="B31" s="39"/>
      <c r="C31" s="41">
        <v>2202.34</v>
      </c>
      <c r="D31" s="41">
        <v>2202.34</v>
      </c>
      <c r="E31" s="41">
        <v>2382.67</v>
      </c>
      <c r="F31" s="41">
        <v>2382.67</v>
      </c>
      <c r="G31" s="41">
        <v>2382.67</v>
      </c>
      <c r="H31" s="41">
        <v>2382.67</v>
      </c>
      <c r="I31" s="41">
        <v>2827.75</v>
      </c>
    </row>
    <row r="32" spans="1:10" ht="13.5" customHeight="1" x14ac:dyDescent="0.2">
      <c r="A32" s="39" t="s">
        <v>16</v>
      </c>
      <c r="B32" s="39"/>
      <c r="C32" s="41">
        <v>533.70000000000005</v>
      </c>
      <c r="D32" s="41">
        <v>533.70000000000005</v>
      </c>
      <c r="E32" s="41">
        <v>536.83000000000004</v>
      </c>
      <c r="F32" s="41">
        <v>536.83000000000004</v>
      </c>
      <c r="G32" s="41">
        <v>536.83000000000004</v>
      </c>
      <c r="H32" s="41">
        <v>536.83000000000004</v>
      </c>
      <c r="I32" s="41">
        <v>536.83000000000004</v>
      </c>
    </row>
    <row r="33" spans="1:9" ht="13.5" customHeight="1" x14ac:dyDescent="0.2">
      <c r="A33" s="39" t="s">
        <v>17</v>
      </c>
      <c r="B33" s="39"/>
      <c r="C33" s="41">
        <v>1355.25</v>
      </c>
      <c r="D33" s="41">
        <v>1355.25</v>
      </c>
      <c r="E33" s="41">
        <v>1355.25</v>
      </c>
      <c r="F33" s="41">
        <v>1355.25</v>
      </c>
      <c r="G33" s="41">
        <v>1355.25</v>
      </c>
      <c r="H33" s="41">
        <v>1630.71</v>
      </c>
      <c r="I33" s="41">
        <v>1630.71</v>
      </c>
    </row>
    <row r="34" spans="1:9" ht="13.5" customHeight="1" x14ac:dyDescent="0.2">
      <c r="A34" s="39" t="s">
        <v>98</v>
      </c>
      <c r="B34" s="39"/>
      <c r="C34" s="41">
        <v>0</v>
      </c>
      <c r="D34" s="41">
        <v>0</v>
      </c>
      <c r="E34" s="41">
        <v>42251.72</v>
      </c>
      <c r="F34" s="41">
        <v>0</v>
      </c>
      <c r="G34" s="41">
        <v>0</v>
      </c>
      <c r="H34" s="41">
        <v>0</v>
      </c>
      <c r="I34" s="41">
        <v>0</v>
      </c>
    </row>
    <row r="35" spans="1:9" ht="13.5" customHeight="1" x14ac:dyDescent="0.2">
      <c r="A35" s="39" t="s">
        <v>19</v>
      </c>
      <c r="B35" s="39"/>
      <c r="C35" s="41">
        <v>10045.700000000001</v>
      </c>
      <c r="D35" s="41">
        <v>9997.67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</row>
    <row r="36" spans="1:9" ht="13.5" customHeight="1" x14ac:dyDescent="0.2">
      <c r="A36" s="39" t="s">
        <v>99</v>
      </c>
      <c r="B36" s="39"/>
      <c r="C36" s="41">
        <v>0</v>
      </c>
      <c r="D36" s="41">
        <v>0</v>
      </c>
      <c r="E36" s="41">
        <v>0</v>
      </c>
      <c r="F36" s="41">
        <v>17053.36</v>
      </c>
      <c r="G36" s="41">
        <v>13528.61</v>
      </c>
      <c r="H36" s="41">
        <v>15494.69</v>
      </c>
      <c r="I36" s="41">
        <v>14969.99</v>
      </c>
    </row>
    <row r="37" spans="1:9" ht="13.5" customHeight="1" x14ac:dyDescent="0.2">
      <c r="A37" s="39" t="s">
        <v>100</v>
      </c>
      <c r="B37" s="39"/>
      <c r="C37" s="41">
        <v>0</v>
      </c>
      <c r="D37" s="41">
        <v>0</v>
      </c>
      <c r="E37" s="41">
        <v>0</v>
      </c>
      <c r="F37" s="41">
        <v>0</v>
      </c>
      <c r="G37" s="41">
        <v>1193.68</v>
      </c>
      <c r="H37" s="41">
        <v>1996.53</v>
      </c>
      <c r="I37" s="41">
        <v>1927.08</v>
      </c>
    </row>
    <row r="38" spans="1:9" ht="13.5" customHeight="1" x14ac:dyDescent="0.2">
      <c r="A38" s="39" t="s">
        <v>101</v>
      </c>
      <c r="B38" s="39"/>
      <c r="C38" s="41">
        <v>0</v>
      </c>
      <c r="D38" s="41">
        <v>0</v>
      </c>
      <c r="E38" s="41">
        <v>0</v>
      </c>
      <c r="F38" s="41">
        <v>0</v>
      </c>
      <c r="G38" s="41">
        <v>1091.8800000000001</v>
      </c>
      <c r="H38" s="41">
        <v>0</v>
      </c>
      <c r="I38" s="41">
        <v>0</v>
      </c>
    </row>
    <row r="39" spans="1:9" ht="13.5" customHeight="1" x14ac:dyDescent="0.2">
      <c r="A39" s="39" t="s">
        <v>21</v>
      </c>
      <c r="B39" s="39"/>
      <c r="C39" s="41">
        <v>1940.98</v>
      </c>
      <c r="D39" s="41">
        <v>1625.2</v>
      </c>
      <c r="E39" s="41">
        <v>3870.17</v>
      </c>
      <c r="F39" s="41">
        <v>3544.7</v>
      </c>
      <c r="G39" s="41">
        <v>3922.1</v>
      </c>
      <c r="H39" s="41">
        <v>6477.59</v>
      </c>
      <c r="I39" s="41">
        <v>7499.15</v>
      </c>
    </row>
    <row r="40" spans="1:9" ht="13.5" customHeight="1" x14ac:dyDescent="0.2">
      <c r="A40" s="39" t="s">
        <v>23</v>
      </c>
      <c r="B40" s="39"/>
      <c r="C40" s="41">
        <v>1100</v>
      </c>
      <c r="D40" s="41">
        <v>1100</v>
      </c>
      <c r="E40" s="41">
        <v>1100</v>
      </c>
      <c r="F40" s="41">
        <v>1100</v>
      </c>
      <c r="G40" s="41">
        <v>1100</v>
      </c>
      <c r="H40" s="41">
        <v>1100</v>
      </c>
      <c r="I40" s="41">
        <v>1100</v>
      </c>
    </row>
    <row r="41" spans="1:9" ht="13.5" customHeight="1" x14ac:dyDescent="0.2">
      <c r="A41" s="39" t="s">
        <v>24</v>
      </c>
      <c r="B41" s="39"/>
      <c r="C41" s="41">
        <v>100</v>
      </c>
      <c r="D41" s="41">
        <v>100</v>
      </c>
      <c r="E41" s="41">
        <v>100</v>
      </c>
      <c r="F41" s="41">
        <v>100</v>
      </c>
      <c r="G41" s="41">
        <v>100</v>
      </c>
      <c r="H41" s="41">
        <v>100</v>
      </c>
      <c r="I41" s="41">
        <v>100</v>
      </c>
    </row>
    <row r="42" spans="1:9" ht="13.5" customHeight="1" x14ac:dyDescent="0.2">
      <c r="A42" s="39" t="s">
        <v>102</v>
      </c>
      <c r="B42" s="39"/>
      <c r="C42" s="41">
        <f>SUM(C30:C41)</f>
        <v>17277.97</v>
      </c>
      <c r="D42" s="41">
        <f t="shared" ref="D42:I42" si="3">SUM(D30:D41)</f>
        <v>16914.16</v>
      </c>
      <c r="E42" s="41">
        <f t="shared" si="3"/>
        <v>51596.639999999999</v>
      </c>
      <c r="F42" s="41">
        <f t="shared" si="3"/>
        <v>26097.81</v>
      </c>
      <c r="G42" s="41">
        <f t="shared" si="3"/>
        <v>25236.02</v>
      </c>
      <c r="H42" s="41">
        <f t="shared" si="3"/>
        <v>29734.02</v>
      </c>
      <c r="I42" s="41">
        <f t="shared" si="3"/>
        <v>30606.510000000002</v>
      </c>
    </row>
    <row r="43" spans="1:9" ht="13.5" customHeight="1" x14ac:dyDescent="0.2">
      <c r="A43" s="39" t="s">
        <v>103</v>
      </c>
      <c r="B43" s="39"/>
      <c r="C43" s="41">
        <f>SUM(C28,-C42)</f>
        <v>46743.259999999995</v>
      </c>
      <c r="D43" s="41">
        <f t="shared" ref="D43:I43" si="4">SUM(D28,-D42)</f>
        <v>6969.2599999999911</v>
      </c>
      <c r="E43" s="41">
        <f t="shared" si="4"/>
        <v>13616.250000000015</v>
      </c>
      <c r="F43" s="41">
        <f t="shared" si="4"/>
        <v>10068.53999999999</v>
      </c>
      <c r="G43" s="41">
        <f t="shared" si="4"/>
        <v>31410.619999999984</v>
      </c>
      <c r="H43" s="41">
        <f t="shared" si="4"/>
        <v>73832.06</v>
      </c>
      <c r="I43" s="41">
        <f t="shared" si="4"/>
        <v>80337.569999999978</v>
      </c>
    </row>
    <row r="44" spans="1:9" ht="13.7" customHeight="1" x14ac:dyDescent="0.2">
      <c r="D44" s="40"/>
      <c r="E44" s="40"/>
      <c r="F44" s="40"/>
    </row>
    <row r="45" spans="1:9" ht="21.95" customHeight="1" x14ac:dyDescent="0.2">
      <c r="D45" s="40"/>
      <c r="E45" s="40"/>
      <c r="F45" s="40"/>
    </row>
    <row r="46" spans="1:9" ht="13.5" customHeight="1" x14ac:dyDescent="0.2">
      <c r="D46" s="40"/>
      <c r="E46" s="40"/>
      <c r="F46" s="40"/>
    </row>
    <row r="47" spans="1:9" ht="13.5" customHeight="1" x14ac:dyDescent="0.2">
      <c r="D47" s="40"/>
      <c r="E47" s="40"/>
      <c r="F47" s="40"/>
    </row>
    <row r="48" spans="1:9" ht="13.5" customHeight="1" x14ac:dyDescent="0.2">
      <c r="D48" s="40"/>
      <c r="E48" s="40"/>
      <c r="F48" s="40"/>
    </row>
    <row r="49" spans="4:6" ht="13.5" customHeight="1" x14ac:dyDescent="0.2">
      <c r="D49" s="40"/>
      <c r="E49" s="40"/>
      <c r="F49" s="40"/>
    </row>
    <row r="50" spans="4:6" ht="13.5" customHeight="1" x14ac:dyDescent="0.2">
      <c r="D50" s="40"/>
      <c r="E50" s="40"/>
      <c r="F50" s="40"/>
    </row>
    <row r="51" spans="4:6" ht="13.5" customHeight="1" x14ac:dyDescent="0.2">
      <c r="D51" s="40"/>
      <c r="E51" s="40"/>
      <c r="F51" s="40"/>
    </row>
    <row r="52" spans="4:6" ht="13.5" customHeight="1" x14ac:dyDescent="0.2">
      <c r="D52" s="40"/>
      <c r="E52" s="40"/>
      <c r="F52" s="40"/>
    </row>
    <row r="53" spans="4:6" ht="13.5" customHeight="1" x14ac:dyDescent="0.2">
      <c r="D53" s="40"/>
      <c r="E53" s="40"/>
      <c r="F53" s="40"/>
    </row>
    <row r="54" spans="4:6" ht="13.5" customHeight="1" x14ac:dyDescent="0.2">
      <c r="D54" s="40"/>
      <c r="E54" s="40"/>
      <c r="F54" s="40"/>
    </row>
    <row r="55" spans="4:6" ht="13.5" customHeight="1" x14ac:dyDescent="0.2">
      <c r="D55" s="40"/>
      <c r="E55" s="40"/>
      <c r="F55" s="40"/>
    </row>
    <row r="56" spans="4:6" ht="13.5" customHeight="1" x14ac:dyDescent="0.2">
      <c r="D56" s="40"/>
      <c r="E56" s="40"/>
      <c r="F56" s="40"/>
    </row>
    <row r="57" spans="4:6" ht="13.5" customHeight="1" x14ac:dyDescent="0.2">
      <c r="D57" s="40"/>
      <c r="E57" s="40"/>
      <c r="F57" s="40"/>
    </row>
    <row r="58" spans="4:6" ht="13.5" customHeight="1" x14ac:dyDescent="0.2">
      <c r="D58" s="40"/>
      <c r="E58" s="40"/>
      <c r="F58" s="40"/>
    </row>
    <row r="59" spans="4:6" ht="13.5" customHeight="1" x14ac:dyDescent="0.2">
      <c r="D59" s="40"/>
      <c r="E59" s="40"/>
      <c r="F59" s="40"/>
    </row>
    <row r="60" spans="4:6" ht="13.5" customHeight="1" x14ac:dyDescent="0.2">
      <c r="D60" s="40"/>
      <c r="E60" s="40"/>
      <c r="F60" s="40"/>
    </row>
    <row r="61" spans="4:6" ht="13.5" customHeight="1" x14ac:dyDescent="0.2">
      <c r="D61" s="40"/>
      <c r="E61" s="40"/>
      <c r="F61" s="40"/>
    </row>
    <row r="62" spans="4:6" ht="13.7" customHeight="1" x14ac:dyDescent="0.2">
      <c r="D62" s="40"/>
      <c r="E62" s="40"/>
      <c r="F62" s="40"/>
    </row>
    <row r="63" spans="4:6" ht="21.95" customHeight="1" x14ac:dyDescent="0.2">
      <c r="D63" s="40"/>
      <c r="E63" s="40"/>
      <c r="F63" s="40"/>
    </row>
    <row r="64" spans="4:6" ht="21.95" customHeight="1" x14ac:dyDescent="0.2">
      <c r="D64" s="40"/>
      <c r="E64" s="40"/>
      <c r="F64" s="40"/>
    </row>
    <row r="65" spans="4:6" ht="36" customHeight="1" x14ac:dyDescent="0.2">
      <c r="D65" s="40"/>
      <c r="E65" s="40"/>
      <c r="F65" s="40"/>
    </row>
    <row r="66" spans="4:6" ht="13.5" customHeight="1" x14ac:dyDescent="0.2">
      <c r="D66" s="40"/>
      <c r="E66" s="40"/>
      <c r="F66" s="40"/>
    </row>
    <row r="67" spans="4:6" ht="13.5" customHeight="1" x14ac:dyDescent="0.2">
      <c r="D67" s="40"/>
      <c r="E67" s="40"/>
      <c r="F67" s="40"/>
    </row>
    <row r="68" spans="4:6" ht="13.5" customHeight="1" x14ac:dyDescent="0.2">
      <c r="D68" s="40"/>
      <c r="E68" s="40"/>
      <c r="F68" s="40"/>
    </row>
    <row r="69" spans="4:6" ht="13.5" customHeight="1" x14ac:dyDescent="0.2">
      <c r="D69" s="40"/>
      <c r="E69" s="40"/>
      <c r="F69" s="40"/>
    </row>
    <row r="70" spans="4:6" ht="13.5" customHeight="1" x14ac:dyDescent="0.2">
      <c r="D70" s="40"/>
      <c r="E70" s="40"/>
      <c r="F70" s="40"/>
    </row>
    <row r="71" spans="4:6" ht="13.5" customHeight="1" x14ac:dyDescent="0.2">
      <c r="D71" s="40"/>
      <c r="E71" s="40"/>
      <c r="F71" s="40"/>
    </row>
    <row r="72" spans="4:6" ht="13.5" customHeight="1" x14ac:dyDescent="0.2">
      <c r="D72" s="40"/>
      <c r="E72" s="40"/>
      <c r="F72" s="40"/>
    </row>
    <row r="73" spans="4:6" ht="13.5" customHeight="1" x14ac:dyDescent="0.2">
      <c r="D73" s="40"/>
      <c r="E73" s="40"/>
      <c r="F73" s="40"/>
    </row>
    <row r="74" spans="4:6" ht="13.5" customHeight="1" x14ac:dyDescent="0.2">
      <c r="D74" s="40"/>
      <c r="E74" s="40"/>
      <c r="F74" s="40"/>
    </row>
    <row r="75" spans="4:6" ht="13.5" customHeight="1" x14ac:dyDescent="0.2">
      <c r="D75" s="40"/>
      <c r="E75" s="40"/>
      <c r="F75" s="40"/>
    </row>
    <row r="76" spans="4:6" ht="13.5" customHeight="1" x14ac:dyDescent="0.2"/>
    <row r="77" spans="4:6" ht="13.7" customHeight="1" x14ac:dyDescent="0.2"/>
    <row r="78" spans="4:6" ht="21.95" customHeight="1" x14ac:dyDescent="0.2"/>
    <row r="79" spans="4:6" ht="23.25" customHeight="1" x14ac:dyDescent="0.2"/>
  </sheetData>
  <phoneticPr fontId="4" type="noConversion"/>
  <pageMargins left="0.25" right="0.25" top="0.75" bottom="0.75" header="0.3" footer="0.3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25CF-D84F-41C7-86D1-E485DA8257BF}">
  <sheetPr>
    <pageSetUpPr fitToPage="1"/>
  </sheetPr>
  <dimension ref="A1:Q66"/>
  <sheetViews>
    <sheetView tabSelected="1" topLeftCell="A28" workbookViewId="0">
      <selection activeCell="A49" sqref="A49:E66"/>
    </sheetView>
  </sheetViews>
  <sheetFormatPr defaultRowHeight="12.75" x14ac:dyDescent="0.2"/>
  <cols>
    <col min="1" max="1" width="23.5" style="27" customWidth="1"/>
    <col min="2" max="2" width="8.5" bestFit="1" customWidth="1"/>
    <col min="3" max="3" width="11.5" bestFit="1" customWidth="1"/>
    <col min="4" max="4" width="14.1640625" bestFit="1" customWidth="1"/>
    <col min="5" max="5" width="12.5" bestFit="1" customWidth="1"/>
    <col min="6" max="14" width="11.1640625" bestFit="1" customWidth="1"/>
    <col min="15" max="15" width="12.83203125" bestFit="1" customWidth="1"/>
    <col min="17" max="17" width="10" bestFit="1" customWidth="1"/>
  </cols>
  <sheetData>
    <row r="1" spans="1:15" x14ac:dyDescent="0.2">
      <c r="C1" s="23">
        <v>31</v>
      </c>
      <c r="D1" s="23">
        <v>28</v>
      </c>
      <c r="E1" s="23">
        <v>31</v>
      </c>
      <c r="F1" s="23">
        <v>30</v>
      </c>
      <c r="G1" s="23">
        <v>31</v>
      </c>
      <c r="H1" s="23">
        <v>30</v>
      </c>
      <c r="I1" s="23">
        <v>31</v>
      </c>
      <c r="J1" s="23">
        <v>31</v>
      </c>
      <c r="K1" s="23">
        <v>30</v>
      </c>
      <c r="L1" s="23">
        <v>31</v>
      </c>
      <c r="M1" s="23">
        <v>30</v>
      </c>
      <c r="N1" s="23">
        <v>31</v>
      </c>
    </row>
    <row r="2" spans="1:15" x14ac:dyDescent="0.2"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36</v>
      </c>
      <c r="O2" s="2" t="s">
        <v>37</v>
      </c>
    </row>
    <row r="3" spans="1:15" x14ac:dyDescent="0.2">
      <c r="A3" s="27" t="s">
        <v>47</v>
      </c>
      <c r="B3">
        <v>10</v>
      </c>
      <c r="C3">
        <f>$B3*C$1</f>
        <v>310</v>
      </c>
      <c r="D3">
        <f t="shared" ref="D3:N3" si="0">$B3*D$1</f>
        <v>280</v>
      </c>
      <c r="E3">
        <f t="shared" si="0"/>
        <v>310</v>
      </c>
      <c r="F3">
        <f t="shared" si="0"/>
        <v>300</v>
      </c>
      <c r="G3">
        <f t="shared" si="0"/>
        <v>310</v>
      </c>
      <c r="H3">
        <f t="shared" si="0"/>
        <v>300</v>
      </c>
      <c r="I3">
        <f t="shared" si="0"/>
        <v>310</v>
      </c>
      <c r="J3">
        <f t="shared" si="0"/>
        <v>310</v>
      </c>
      <c r="K3">
        <f t="shared" si="0"/>
        <v>300</v>
      </c>
      <c r="L3">
        <f t="shared" si="0"/>
        <v>310</v>
      </c>
      <c r="M3">
        <f t="shared" si="0"/>
        <v>300</v>
      </c>
      <c r="N3">
        <f t="shared" si="0"/>
        <v>310</v>
      </c>
      <c r="O3" s="2">
        <f>SUM(C3:N3)</f>
        <v>3650</v>
      </c>
    </row>
    <row r="4" spans="1:15" x14ac:dyDescent="0.2">
      <c r="A4" s="27" t="s">
        <v>48</v>
      </c>
      <c r="B4">
        <v>5</v>
      </c>
      <c r="C4">
        <f t="shared" ref="C4:N6" si="1">$B4*C$1</f>
        <v>155</v>
      </c>
      <c r="D4">
        <f t="shared" si="1"/>
        <v>140</v>
      </c>
      <c r="E4">
        <f t="shared" si="1"/>
        <v>155</v>
      </c>
      <c r="F4">
        <f t="shared" si="1"/>
        <v>150</v>
      </c>
      <c r="G4">
        <f t="shared" si="1"/>
        <v>155</v>
      </c>
      <c r="H4">
        <f t="shared" si="1"/>
        <v>150</v>
      </c>
      <c r="I4">
        <f t="shared" si="1"/>
        <v>155</v>
      </c>
      <c r="J4">
        <f t="shared" si="1"/>
        <v>155</v>
      </c>
      <c r="K4">
        <f t="shared" si="1"/>
        <v>150</v>
      </c>
      <c r="L4">
        <f t="shared" si="1"/>
        <v>155</v>
      </c>
      <c r="M4">
        <f t="shared" si="1"/>
        <v>150</v>
      </c>
      <c r="N4">
        <f t="shared" si="1"/>
        <v>155</v>
      </c>
      <c r="O4" s="2">
        <f t="shared" ref="O4:O6" si="2">SUM(C4:N4)</f>
        <v>1825</v>
      </c>
    </row>
    <row r="5" spans="1:15" x14ac:dyDescent="0.2">
      <c r="A5" s="27" t="s">
        <v>49</v>
      </c>
      <c r="B5">
        <v>4</v>
      </c>
      <c r="C5">
        <f t="shared" si="1"/>
        <v>124</v>
      </c>
      <c r="D5">
        <f t="shared" si="1"/>
        <v>112</v>
      </c>
      <c r="E5">
        <f>$B5*E$1</f>
        <v>124</v>
      </c>
      <c r="F5">
        <f t="shared" si="1"/>
        <v>120</v>
      </c>
      <c r="G5">
        <f t="shared" si="1"/>
        <v>124</v>
      </c>
      <c r="H5">
        <f t="shared" si="1"/>
        <v>120</v>
      </c>
      <c r="I5">
        <f t="shared" si="1"/>
        <v>124</v>
      </c>
      <c r="J5">
        <f t="shared" si="1"/>
        <v>124</v>
      </c>
      <c r="K5">
        <f t="shared" si="1"/>
        <v>120</v>
      </c>
      <c r="L5">
        <f t="shared" si="1"/>
        <v>124</v>
      </c>
      <c r="M5">
        <f t="shared" si="1"/>
        <v>120</v>
      </c>
      <c r="N5">
        <f t="shared" si="1"/>
        <v>124</v>
      </c>
      <c r="O5" s="2">
        <f t="shared" si="2"/>
        <v>1460</v>
      </c>
    </row>
    <row r="6" spans="1:15" x14ac:dyDescent="0.2">
      <c r="A6" s="27" t="s">
        <v>50</v>
      </c>
      <c r="B6">
        <v>1</v>
      </c>
      <c r="C6">
        <f t="shared" si="1"/>
        <v>31</v>
      </c>
      <c r="D6">
        <f t="shared" si="1"/>
        <v>28</v>
      </c>
      <c r="E6">
        <f t="shared" si="1"/>
        <v>31</v>
      </c>
      <c r="F6">
        <f t="shared" si="1"/>
        <v>30</v>
      </c>
      <c r="G6">
        <f t="shared" si="1"/>
        <v>31</v>
      </c>
      <c r="H6">
        <f t="shared" si="1"/>
        <v>30</v>
      </c>
      <c r="I6">
        <f t="shared" si="1"/>
        <v>31</v>
      </c>
      <c r="J6">
        <f t="shared" si="1"/>
        <v>31</v>
      </c>
      <c r="K6">
        <f t="shared" si="1"/>
        <v>30</v>
      </c>
      <c r="L6">
        <f t="shared" si="1"/>
        <v>31</v>
      </c>
      <c r="M6">
        <f t="shared" si="1"/>
        <v>30</v>
      </c>
      <c r="N6">
        <f t="shared" si="1"/>
        <v>31</v>
      </c>
      <c r="O6" s="2">
        <f t="shared" si="2"/>
        <v>365</v>
      </c>
    </row>
    <row r="7" spans="1:15" x14ac:dyDescent="0.2">
      <c r="A7" s="28" t="s">
        <v>37</v>
      </c>
      <c r="B7" s="2">
        <f>SUM(B3:B6)</f>
        <v>20</v>
      </c>
      <c r="C7" s="2">
        <f t="shared" ref="C7:O7" si="3">SUM(C3:C6)</f>
        <v>620</v>
      </c>
      <c r="D7" s="2">
        <f t="shared" si="3"/>
        <v>560</v>
      </c>
      <c r="E7" s="2">
        <f t="shared" si="3"/>
        <v>620</v>
      </c>
      <c r="F7" s="2">
        <f t="shared" si="3"/>
        <v>600</v>
      </c>
      <c r="G7" s="2">
        <f t="shared" si="3"/>
        <v>620</v>
      </c>
      <c r="H7" s="2">
        <f t="shared" si="3"/>
        <v>600</v>
      </c>
      <c r="I7" s="2">
        <f t="shared" si="3"/>
        <v>620</v>
      </c>
      <c r="J7" s="2">
        <f t="shared" si="3"/>
        <v>620</v>
      </c>
      <c r="K7" s="2">
        <f t="shared" si="3"/>
        <v>600</v>
      </c>
      <c r="L7" s="2">
        <f t="shared" si="3"/>
        <v>620</v>
      </c>
      <c r="M7" s="2">
        <f t="shared" si="3"/>
        <v>600</v>
      </c>
      <c r="N7" s="2">
        <f t="shared" si="3"/>
        <v>620</v>
      </c>
      <c r="O7" s="2">
        <f t="shared" si="3"/>
        <v>7300</v>
      </c>
    </row>
    <row r="8" spans="1:15" x14ac:dyDescent="0.2">
      <c r="A8" s="45" t="s">
        <v>55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x14ac:dyDescent="0.2">
      <c r="A9" s="27" t="str">
        <f>A3</f>
        <v>Cabins</v>
      </c>
      <c r="B9" s="8">
        <v>349</v>
      </c>
      <c r="C9" s="11">
        <f>$B9*C3</f>
        <v>108190</v>
      </c>
      <c r="D9" s="11">
        <f t="shared" ref="D9:M9" si="4">$B9*D3</f>
        <v>97720</v>
      </c>
      <c r="E9" s="11">
        <f t="shared" si="4"/>
        <v>108190</v>
      </c>
      <c r="F9" s="11">
        <f t="shared" si="4"/>
        <v>104700</v>
      </c>
      <c r="G9" s="11">
        <f t="shared" si="4"/>
        <v>108190</v>
      </c>
      <c r="H9" s="11">
        <f t="shared" si="4"/>
        <v>104700</v>
      </c>
      <c r="I9" s="11">
        <f t="shared" si="4"/>
        <v>108190</v>
      </c>
      <c r="J9" s="11">
        <f t="shared" si="4"/>
        <v>108190</v>
      </c>
      <c r="K9" s="11">
        <f t="shared" si="4"/>
        <v>104700</v>
      </c>
      <c r="L9" s="11">
        <f t="shared" si="4"/>
        <v>108190</v>
      </c>
      <c r="M9" s="11">
        <f t="shared" si="4"/>
        <v>104700</v>
      </c>
      <c r="N9" s="11">
        <f>$B9*N3</f>
        <v>108190</v>
      </c>
      <c r="O9" s="24">
        <f>SUM(B9:N9)</f>
        <v>1274199</v>
      </c>
    </row>
    <row r="10" spans="1:15" x14ac:dyDescent="0.2">
      <c r="A10" s="27" t="str">
        <f t="shared" ref="A10:A12" si="5">A4</f>
        <v>Teepees</v>
      </c>
      <c r="B10" s="8">
        <v>219</v>
      </c>
      <c r="C10" s="11">
        <f t="shared" ref="C10:N12" si="6">$B10*C4</f>
        <v>33945</v>
      </c>
      <c r="D10" s="11">
        <f t="shared" si="6"/>
        <v>30660</v>
      </c>
      <c r="E10" s="11">
        <f t="shared" si="6"/>
        <v>33945</v>
      </c>
      <c r="F10" s="11">
        <f t="shared" si="6"/>
        <v>32850</v>
      </c>
      <c r="G10" s="11">
        <f t="shared" si="6"/>
        <v>33945</v>
      </c>
      <c r="H10" s="11">
        <f t="shared" si="6"/>
        <v>32850</v>
      </c>
      <c r="I10" s="11">
        <f t="shared" si="6"/>
        <v>33945</v>
      </c>
      <c r="J10" s="11">
        <f t="shared" si="6"/>
        <v>33945</v>
      </c>
      <c r="K10" s="11">
        <f t="shared" si="6"/>
        <v>32850</v>
      </c>
      <c r="L10" s="11">
        <f t="shared" si="6"/>
        <v>33945</v>
      </c>
      <c r="M10" s="11">
        <f t="shared" si="6"/>
        <v>32850</v>
      </c>
      <c r="N10" s="11">
        <f t="shared" si="6"/>
        <v>33945</v>
      </c>
      <c r="O10" s="24">
        <f t="shared" ref="O10:O12" si="7">SUM(B10:N10)</f>
        <v>399894</v>
      </c>
    </row>
    <row r="11" spans="1:15" x14ac:dyDescent="0.2">
      <c r="A11" s="27" t="str">
        <f t="shared" si="5"/>
        <v>Treehouses</v>
      </c>
      <c r="B11" s="8">
        <v>349</v>
      </c>
      <c r="C11" s="11">
        <f t="shared" si="6"/>
        <v>43276</v>
      </c>
      <c r="D11" s="11">
        <f t="shared" si="6"/>
        <v>39088</v>
      </c>
      <c r="E11" s="11">
        <f t="shared" si="6"/>
        <v>43276</v>
      </c>
      <c r="F11" s="11">
        <f t="shared" si="6"/>
        <v>41880</v>
      </c>
      <c r="G11" s="11">
        <f t="shared" si="6"/>
        <v>43276</v>
      </c>
      <c r="H11" s="11">
        <f t="shared" si="6"/>
        <v>41880</v>
      </c>
      <c r="I11" s="11">
        <f t="shared" si="6"/>
        <v>43276</v>
      </c>
      <c r="J11" s="11">
        <f t="shared" si="6"/>
        <v>43276</v>
      </c>
      <c r="K11" s="11">
        <f t="shared" si="6"/>
        <v>41880</v>
      </c>
      <c r="L11" s="11">
        <f t="shared" si="6"/>
        <v>43276</v>
      </c>
      <c r="M11" s="11">
        <f t="shared" si="6"/>
        <v>41880</v>
      </c>
      <c r="N11" s="11">
        <f t="shared" si="6"/>
        <v>43276</v>
      </c>
      <c r="O11" s="24">
        <f t="shared" si="7"/>
        <v>509889</v>
      </c>
    </row>
    <row r="12" spans="1:15" x14ac:dyDescent="0.2">
      <c r="A12" s="27" t="str">
        <f t="shared" si="5"/>
        <v>Homestead Haus</v>
      </c>
      <c r="B12" s="8">
        <v>349</v>
      </c>
      <c r="C12" s="11">
        <f t="shared" si="6"/>
        <v>10819</v>
      </c>
      <c r="D12" s="11">
        <f t="shared" si="6"/>
        <v>9772</v>
      </c>
      <c r="E12" s="11">
        <f t="shared" si="6"/>
        <v>10819</v>
      </c>
      <c r="F12" s="11">
        <f t="shared" si="6"/>
        <v>10470</v>
      </c>
      <c r="G12" s="11">
        <f t="shared" si="6"/>
        <v>10819</v>
      </c>
      <c r="H12" s="11">
        <f t="shared" si="6"/>
        <v>10470</v>
      </c>
      <c r="I12" s="11">
        <f t="shared" si="6"/>
        <v>10819</v>
      </c>
      <c r="J12" s="11">
        <f t="shared" si="6"/>
        <v>10819</v>
      </c>
      <c r="K12" s="11">
        <f t="shared" si="6"/>
        <v>10470</v>
      </c>
      <c r="L12" s="11">
        <f t="shared" si="6"/>
        <v>10819</v>
      </c>
      <c r="M12" s="11">
        <f t="shared" si="6"/>
        <v>10470</v>
      </c>
      <c r="N12" s="11">
        <f t="shared" si="6"/>
        <v>10819</v>
      </c>
      <c r="O12" s="24">
        <f t="shared" si="7"/>
        <v>127734</v>
      </c>
    </row>
    <row r="13" spans="1:15" x14ac:dyDescent="0.2">
      <c r="A13" s="28"/>
      <c r="B13" s="2"/>
      <c r="C13" s="24">
        <f>SUM(C9:C12)</f>
        <v>196230</v>
      </c>
      <c r="D13" s="24">
        <f t="shared" ref="D13:O13" si="8">SUM(D9:D12)</f>
        <v>177240</v>
      </c>
      <c r="E13" s="24">
        <f t="shared" si="8"/>
        <v>196230</v>
      </c>
      <c r="F13" s="24">
        <f t="shared" si="8"/>
        <v>189900</v>
      </c>
      <c r="G13" s="24">
        <f t="shared" si="8"/>
        <v>196230</v>
      </c>
      <c r="H13" s="24">
        <f t="shared" si="8"/>
        <v>189900</v>
      </c>
      <c r="I13" s="24">
        <f t="shared" si="8"/>
        <v>196230</v>
      </c>
      <c r="J13" s="24">
        <f t="shared" si="8"/>
        <v>196230</v>
      </c>
      <c r="K13" s="24">
        <f t="shared" si="8"/>
        <v>189900</v>
      </c>
      <c r="L13" s="24">
        <f t="shared" si="8"/>
        <v>196230</v>
      </c>
      <c r="M13" s="24">
        <f t="shared" si="8"/>
        <v>189900</v>
      </c>
      <c r="N13" s="24">
        <f t="shared" si="8"/>
        <v>196230</v>
      </c>
      <c r="O13" s="24">
        <f t="shared" si="8"/>
        <v>2311716</v>
      </c>
    </row>
    <row r="14" spans="1:15" x14ac:dyDescent="0.2">
      <c r="A14" s="45" t="s">
        <v>51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x14ac:dyDescent="0.2">
      <c r="C15" s="13">
        <v>0.4</v>
      </c>
      <c r="D15" s="13">
        <v>0.4</v>
      </c>
      <c r="E15" s="13">
        <v>0.55000000000000004</v>
      </c>
      <c r="F15" s="13">
        <v>0.6</v>
      </c>
      <c r="G15" s="13">
        <v>0.7</v>
      </c>
      <c r="H15" s="13">
        <v>0.9</v>
      </c>
      <c r="I15" s="13">
        <v>0.9</v>
      </c>
      <c r="J15" s="13">
        <v>0.95</v>
      </c>
      <c r="K15" s="13">
        <v>0.85</v>
      </c>
      <c r="L15" s="13">
        <v>0.7</v>
      </c>
      <c r="M15" s="13">
        <v>0.6</v>
      </c>
      <c r="N15" s="13">
        <v>0.5</v>
      </c>
      <c r="O15" s="13">
        <f>AVERAGE(C15:N15)</f>
        <v>0.67083333333333339</v>
      </c>
    </row>
    <row r="16" spans="1:15" x14ac:dyDescent="0.2">
      <c r="A16" s="27" t="str">
        <f>A9</f>
        <v>Cabins</v>
      </c>
      <c r="B16" s="25"/>
      <c r="C16" s="11">
        <f>C9*C$15</f>
        <v>43276</v>
      </c>
      <c r="D16" s="11">
        <f t="shared" ref="D16:O16" si="9">D9*D$15</f>
        <v>39088</v>
      </c>
      <c r="E16" s="11">
        <f t="shared" si="9"/>
        <v>59504.500000000007</v>
      </c>
      <c r="F16" s="11">
        <f t="shared" si="9"/>
        <v>62820</v>
      </c>
      <c r="G16" s="11">
        <f t="shared" si="9"/>
        <v>75733</v>
      </c>
      <c r="H16" s="11">
        <f t="shared" si="9"/>
        <v>94230</v>
      </c>
      <c r="I16" s="11">
        <f t="shared" si="9"/>
        <v>97371</v>
      </c>
      <c r="J16" s="11">
        <f t="shared" si="9"/>
        <v>102780.5</v>
      </c>
      <c r="K16" s="11">
        <f t="shared" si="9"/>
        <v>88995</v>
      </c>
      <c r="L16" s="11">
        <f t="shared" si="9"/>
        <v>75733</v>
      </c>
      <c r="M16" s="11">
        <f t="shared" si="9"/>
        <v>62820</v>
      </c>
      <c r="N16" s="11">
        <f t="shared" si="9"/>
        <v>54095</v>
      </c>
      <c r="O16" s="24">
        <f t="shared" si="9"/>
        <v>854775.16250000009</v>
      </c>
    </row>
    <row r="17" spans="1:17" x14ac:dyDescent="0.2">
      <c r="A17" s="27" t="str">
        <f>A10</f>
        <v>Teepees</v>
      </c>
      <c r="B17" s="25"/>
      <c r="C17" s="11">
        <f t="shared" ref="C17:O19" si="10">C10*C$15</f>
        <v>13578</v>
      </c>
      <c r="D17" s="11">
        <f t="shared" si="10"/>
        <v>12264</v>
      </c>
      <c r="E17" s="11">
        <f t="shared" si="10"/>
        <v>18669.75</v>
      </c>
      <c r="F17" s="11">
        <f t="shared" si="10"/>
        <v>19710</v>
      </c>
      <c r="G17" s="11">
        <f t="shared" si="10"/>
        <v>23761.5</v>
      </c>
      <c r="H17" s="11">
        <f t="shared" si="10"/>
        <v>29565</v>
      </c>
      <c r="I17" s="11">
        <f t="shared" si="10"/>
        <v>30550.5</v>
      </c>
      <c r="J17" s="11">
        <f t="shared" si="10"/>
        <v>32247.75</v>
      </c>
      <c r="K17" s="11">
        <f t="shared" si="10"/>
        <v>27922.5</v>
      </c>
      <c r="L17" s="11">
        <f t="shared" si="10"/>
        <v>23761.5</v>
      </c>
      <c r="M17" s="11">
        <f t="shared" si="10"/>
        <v>19710</v>
      </c>
      <c r="N17" s="11">
        <f t="shared" si="10"/>
        <v>16972.5</v>
      </c>
      <c r="O17" s="24">
        <f t="shared" si="10"/>
        <v>268262.22500000003</v>
      </c>
    </row>
    <row r="18" spans="1:17" x14ac:dyDescent="0.2">
      <c r="A18" s="27" t="str">
        <f>A11</f>
        <v>Treehouses</v>
      </c>
      <c r="B18" s="25"/>
      <c r="C18" s="11">
        <f t="shared" si="10"/>
        <v>17310.400000000001</v>
      </c>
      <c r="D18" s="11">
        <f t="shared" si="10"/>
        <v>15635.2</v>
      </c>
      <c r="E18" s="11">
        <f t="shared" si="10"/>
        <v>23801.800000000003</v>
      </c>
      <c r="F18" s="11">
        <f t="shared" si="10"/>
        <v>25128</v>
      </c>
      <c r="G18" s="11">
        <f t="shared" si="10"/>
        <v>30293.199999999997</v>
      </c>
      <c r="H18" s="11">
        <f t="shared" si="10"/>
        <v>37692</v>
      </c>
      <c r="I18" s="11">
        <f t="shared" si="10"/>
        <v>38948.400000000001</v>
      </c>
      <c r="J18" s="11">
        <f t="shared" si="10"/>
        <v>41112.199999999997</v>
      </c>
      <c r="K18" s="11">
        <f t="shared" si="10"/>
        <v>35598</v>
      </c>
      <c r="L18" s="11">
        <f t="shared" si="10"/>
        <v>30293.199999999997</v>
      </c>
      <c r="M18" s="11">
        <f t="shared" si="10"/>
        <v>25128</v>
      </c>
      <c r="N18" s="11">
        <f t="shared" si="10"/>
        <v>21638</v>
      </c>
      <c r="O18" s="24">
        <f t="shared" si="10"/>
        <v>342050.53750000003</v>
      </c>
    </row>
    <row r="19" spans="1:17" x14ac:dyDescent="0.2">
      <c r="A19" s="27" t="str">
        <f>A12</f>
        <v>Homestead Haus</v>
      </c>
      <c r="B19" s="25"/>
      <c r="C19" s="11">
        <f t="shared" si="10"/>
        <v>4327.6000000000004</v>
      </c>
      <c r="D19" s="11">
        <f t="shared" si="10"/>
        <v>3908.8</v>
      </c>
      <c r="E19" s="11">
        <f t="shared" si="10"/>
        <v>5950.4500000000007</v>
      </c>
      <c r="F19" s="11">
        <f t="shared" si="10"/>
        <v>6282</v>
      </c>
      <c r="G19" s="11">
        <f t="shared" si="10"/>
        <v>7573.2999999999993</v>
      </c>
      <c r="H19" s="11">
        <f t="shared" si="10"/>
        <v>9423</v>
      </c>
      <c r="I19" s="11">
        <f t="shared" si="10"/>
        <v>9737.1</v>
      </c>
      <c r="J19" s="11">
        <f t="shared" si="10"/>
        <v>10278.049999999999</v>
      </c>
      <c r="K19" s="11">
        <f t="shared" si="10"/>
        <v>8899.5</v>
      </c>
      <c r="L19" s="11">
        <f t="shared" si="10"/>
        <v>7573.2999999999993</v>
      </c>
      <c r="M19" s="11">
        <f t="shared" si="10"/>
        <v>6282</v>
      </c>
      <c r="N19" s="11">
        <f t="shared" si="10"/>
        <v>5409.5</v>
      </c>
      <c r="O19" s="24">
        <f t="shared" si="10"/>
        <v>85688.225000000006</v>
      </c>
    </row>
    <row r="20" spans="1:17" x14ac:dyDescent="0.2">
      <c r="A20" s="28" t="s">
        <v>37</v>
      </c>
      <c r="B20" s="2"/>
      <c r="C20" s="24">
        <f>SUM(C16:C19)</f>
        <v>78492</v>
      </c>
      <c r="D20" s="24">
        <f t="shared" ref="D20:N20" si="11">SUM(D16:D19)</f>
        <v>70896</v>
      </c>
      <c r="E20" s="24">
        <f t="shared" si="11"/>
        <v>107926.5</v>
      </c>
      <c r="F20" s="24">
        <f t="shared" si="11"/>
        <v>113940</v>
      </c>
      <c r="G20" s="24">
        <f t="shared" si="11"/>
        <v>137361</v>
      </c>
      <c r="H20" s="24">
        <f t="shared" si="11"/>
        <v>170910</v>
      </c>
      <c r="I20" s="24">
        <f t="shared" si="11"/>
        <v>176607</v>
      </c>
      <c r="J20" s="24">
        <f t="shared" si="11"/>
        <v>186418.5</v>
      </c>
      <c r="K20" s="24">
        <f t="shared" si="11"/>
        <v>161415</v>
      </c>
      <c r="L20" s="24">
        <f t="shared" si="11"/>
        <v>137361</v>
      </c>
      <c r="M20" s="24">
        <f t="shared" si="11"/>
        <v>113940</v>
      </c>
      <c r="N20" s="24">
        <f t="shared" si="11"/>
        <v>98115</v>
      </c>
      <c r="O20" s="24">
        <f>SUM(O16:O19)</f>
        <v>1550776.1500000004</v>
      </c>
    </row>
    <row r="22" spans="1:17" x14ac:dyDescent="0.2">
      <c r="A22" s="28" t="s">
        <v>52</v>
      </c>
      <c r="B22" s="26">
        <v>0.2</v>
      </c>
      <c r="C22" s="24">
        <f>C20*$B$22</f>
        <v>15698.400000000001</v>
      </c>
      <c r="D22" s="24">
        <f t="shared" ref="D22:N22" si="12">D20*$B$22</f>
        <v>14179.2</v>
      </c>
      <c r="E22" s="24">
        <f t="shared" si="12"/>
        <v>21585.300000000003</v>
      </c>
      <c r="F22" s="24">
        <f t="shared" si="12"/>
        <v>22788</v>
      </c>
      <c r="G22" s="24">
        <f t="shared" si="12"/>
        <v>27472.2</v>
      </c>
      <c r="H22" s="24">
        <f t="shared" si="12"/>
        <v>34182</v>
      </c>
      <c r="I22" s="24">
        <f t="shared" si="12"/>
        <v>35321.4</v>
      </c>
      <c r="J22" s="24">
        <f t="shared" si="12"/>
        <v>37283.700000000004</v>
      </c>
      <c r="K22" s="24">
        <f t="shared" si="12"/>
        <v>32283</v>
      </c>
      <c r="L22" s="24">
        <f t="shared" si="12"/>
        <v>27472.2</v>
      </c>
      <c r="M22" s="24">
        <f t="shared" si="12"/>
        <v>22788</v>
      </c>
      <c r="N22" s="24">
        <f t="shared" si="12"/>
        <v>19623</v>
      </c>
      <c r="O22" s="24">
        <f>SUM(C22:N22)</f>
        <v>310676.40000000002</v>
      </c>
      <c r="Q22" s="11"/>
    </row>
    <row r="23" spans="1:17" x14ac:dyDescent="0.2">
      <c r="A23" s="28" t="s">
        <v>53</v>
      </c>
      <c r="B23" s="26">
        <v>0.4</v>
      </c>
      <c r="C23" s="24">
        <f>-(C22*$B$23)</f>
        <v>-6279.3600000000006</v>
      </c>
      <c r="D23" s="24">
        <f t="shared" ref="D23:N23" si="13">-(D22*$B$23)</f>
        <v>-5671.68</v>
      </c>
      <c r="E23" s="24">
        <f t="shared" si="13"/>
        <v>-8634.1200000000008</v>
      </c>
      <c r="F23" s="24">
        <f t="shared" si="13"/>
        <v>-9115.2000000000007</v>
      </c>
      <c r="G23" s="24">
        <f t="shared" si="13"/>
        <v>-10988.880000000001</v>
      </c>
      <c r="H23" s="24">
        <f t="shared" si="13"/>
        <v>-13672.800000000001</v>
      </c>
      <c r="I23" s="24">
        <f t="shared" si="13"/>
        <v>-14128.560000000001</v>
      </c>
      <c r="J23" s="24">
        <f t="shared" si="13"/>
        <v>-14913.480000000003</v>
      </c>
      <c r="K23" s="24">
        <f t="shared" si="13"/>
        <v>-12913.2</v>
      </c>
      <c r="L23" s="24">
        <f t="shared" si="13"/>
        <v>-10988.880000000001</v>
      </c>
      <c r="M23" s="24">
        <f t="shared" si="13"/>
        <v>-9115.2000000000007</v>
      </c>
      <c r="N23" s="24">
        <f t="shared" si="13"/>
        <v>-7849.2000000000007</v>
      </c>
      <c r="O23" s="24">
        <f>SUM(C23:N23)</f>
        <v>-124270.56000000001</v>
      </c>
    </row>
    <row r="25" spans="1:17" x14ac:dyDescent="0.2">
      <c r="A25" s="28" t="s">
        <v>54</v>
      </c>
      <c r="B25" s="2"/>
      <c r="C25" s="24">
        <f>SUM(,C20,C22,C23)</f>
        <v>87911.039999999994</v>
      </c>
      <c r="D25" s="24">
        <f t="shared" ref="D25:N25" si="14">SUM(,D20,D22,D23)</f>
        <v>79403.51999999999</v>
      </c>
      <c r="E25" s="24">
        <f t="shared" si="14"/>
        <v>120877.68000000001</v>
      </c>
      <c r="F25" s="24">
        <f t="shared" si="14"/>
        <v>127612.8</v>
      </c>
      <c r="G25" s="24">
        <f t="shared" si="14"/>
        <v>153844.32</v>
      </c>
      <c r="H25" s="24">
        <f t="shared" si="14"/>
        <v>191419.2</v>
      </c>
      <c r="I25" s="24">
        <f t="shared" si="14"/>
        <v>197799.84</v>
      </c>
      <c r="J25" s="24">
        <f t="shared" si="14"/>
        <v>208788.72</v>
      </c>
      <c r="K25" s="24">
        <f t="shared" si="14"/>
        <v>180784.8</v>
      </c>
      <c r="L25" s="24">
        <f t="shared" si="14"/>
        <v>153844.32</v>
      </c>
      <c r="M25" s="24">
        <f t="shared" si="14"/>
        <v>127612.8</v>
      </c>
      <c r="N25" s="24">
        <f t="shared" si="14"/>
        <v>109888.8</v>
      </c>
      <c r="O25" s="24">
        <f>SUM(C25:N25)</f>
        <v>1739787.8400000003</v>
      </c>
    </row>
    <row r="27" spans="1:17" x14ac:dyDescent="0.2">
      <c r="A27" s="45" t="s">
        <v>46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7" x14ac:dyDescent="0.2">
      <c r="A28" s="29" t="s">
        <v>56</v>
      </c>
      <c r="B28" s="12">
        <v>2.5000000000000001E-2</v>
      </c>
      <c r="C28" s="8">
        <f>C25*$B$28</f>
        <v>2197.7759999999998</v>
      </c>
      <c r="D28" s="8">
        <f t="shared" ref="D28:N28" si="15">D25*$B$28</f>
        <v>1985.0879999999997</v>
      </c>
      <c r="E28" s="8">
        <f t="shared" si="15"/>
        <v>3021.9420000000005</v>
      </c>
      <c r="F28" s="8">
        <f t="shared" si="15"/>
        <v>3190.32</v>
      </c>
      <c r="G28" s="8">
        <f t="shared" si="15"/>
        <v>3846.1080000000002</v>
      </c>
      <c r="H28" s="8">
        <f t="shared" si="15"/>
        <v>4785.4800000000005</v>
      </c>
      <c r="I28" s="8">
        <f t="shared" si="15"/>
        <v>4944.9960000000001</v>
      </c>
      <c r="J28" s="8">
        <f t="shared" si="15"/>
        <v>5219.7180000000008</v>
      </c>
      <c r="K28" s="8">
        <f t="shared" si="15"/>
        <v>4519.62</v>
      </c>
      <c r="L28" s="8">
        <f t="shared" si="15"/>
        <v>3846.1080000000002</v>
      </c>
      <c r="M28" s="8">
        <f t="shared" si="15"/>
        <v>3190.32</v>
      </c>
      <c r="N28" s="8">
        <f t="shared" si="15"/>
        <v>2747.2200000000003</v>
      </c>
      <c r="O28" s="5">
        <f>SUM(C28:N28)</f>
        <v>43494.696000000004</v>
      </c>
    </row>
    <row r="29" spans="1:17" x14ac:dyDescent="0.2">
      <c r="A29" s="29" t="s">
        <v>57</v>
      </c>
      <c r="B29" s="12"/>
      <c r="C29" s="8">
        <v>3000</v>
      </c>
      <c r="D29" s="8">
        <v>3000</v>
      </c>
      <c r="E29" s="8">
        <v>3000</v>
      </c>
      <c r="F29" s="8">
        <v>3000</v>
      </c>
      <c r="G29" s="8">
        <v>3000</v>
      </c>
      <c r="H29" s="8">
        <v>3000</v>
      </c>
      <c r="I29" s="8">
        <v>3000</v>
      </c>
      <c r="J29" s="8">
        <v>3000</v>
      </c>
      <c r="K29" s="8">
        <v>3000</v>
      </c>
      <c r="L29" s="8">
        <v>3000</v>
      </c>
      <c r="M29" s="8">
        <v>3000</v>
      </c>
      <c r="N29" s="8">
        <v>3000</v>
      </c>
      <c r="O29" s="5">
        <f t="shared" ref="O29:O44" si="16">SUM(C29:N29)</f>
        <v>36000</v>
      </c>
    </row>
    <row r="30" spans="1:17" x14ac:dyDescent="0.2">
      <c r="A30" s="27" t="s">
        <v>58</v>
      </c>
      <c r="B30" s="12"/>
      <c r="C30" s="8">
        <v>2500</v>
      </c>
      <c r="D30" s="8">
        <v>2500</v>
      </c>
      <c r="E30" s="8">
        <v>2500</v>
      </c>
      <c r="F30" s="8">
        <v>2500</v>
      </c>
      <c r="G30" s="8">
        <v>2500</v>
      </c>
      <c r="H30" s="8">
        <v>2500</v>
      </c>
      <c r="I30" s="8">
        <v>2500</v>
      </c>
      <c r="J30" s="8">
        <v>2500</v>
      </c>
      <c r="K30" s="8">
        <v>2500</v>
      </c>
      <c r="L30" s="8">
        <v>2500</v>
      </c>
      <c r="M30" s="8">
        <v>2500</v>
      </c>
      <c r="N30" s="8">
        <v>2500</v>
      </c>
      <c r="O30" s="5">
        <f t="shared" si="16"/>
        <v>30000</v>
      </c>
    </row>
    <row r="31" spans="1:17" x14ac:dyDescent="0.2">
      <c r="A31" s="30" t="s">
        <v>64</v>
      </c>
      <c r="B31" s="12">
        <v>0.25</v>
      </c>
      <c r="C31" s="8">
        <f>C25*$B$31</f>
        <v>21977.759999999998</v>
      </c>
      <c r="D31" s="8">
        <f t="shared" ref="D31:N31" si="17">D25*$B$31</f>
        <v>19850.879999999997</v>
      </c>
      <c r="E31" s="8">
        <f t="shared" si="17"/>
        <v>30219.420000000002</v>
      </c>
      <c r="F31" s="8">
        <f t="shared" si="17"/>
        <v>31903.200000000001</v>
      </c>
      <c r="G31" s="8">
        <f t="shared" si="17"/>
        <v>38461.08</v>
      </c>
      <c r="H31" s="8">
        <f t="shared" si="17"/>
        <v>47854.8</v>
      </c>
      <c r="I31" s="8">
        <f t="shared" si="17"/>
        <v>49449.96</v>
      </c>
      <c r="J31" s="8">
        <f t="shared" si="17"/>
        <v>52197.18</v>
      </c>
      <c r="K31" s="8">
        <f t="shared" si="17"/>
        <v>45196.2</v>
      </c>
      <c r="L31" s="8">
        <f t="shared" si="17"/>
        <v>38461.08</v>
      </c>
      <c r="M31" s="8">
        <f t="shared" si="17"/>
        <v>31903.200000000001</v>
      </c>
      <c r="N31" s="8">
        <f t="shared" si="17"/>
        <v>27472.2</v>
      </c>
      <c r="O31" s="5">
        <f t="shared" si="16"/>
        <v>434946.96000000008</v>
      </c>
    </row>
    <row r="32" spans="1:17" x14ac:dyDescent="0.2">
      <c r="A32" s="30" t="s">
        <v>65</v>
      </c>
      <c r="B32" s="12">
        <v>0.05</v>
      </c>
      <c r="C32" s="8">
        <f>C25*$B$32</f>
        <v>4395.5519999999997</v>
      </c>
      <c r="D32" s="8">
        <f t="shared" ref="D32:N32" si="18">D25*$B$32</f>
        <v>3970.1759999999995</v>
      </c>
      <c r="E32" s="8">
        <f t="shared" si="18"/>
        <v>6043.8840000000009</v>
      </c>
      <c r="F32" s="8">
        <f t="shared" si="18"/>
        <v>6380.64</v>
      </c>
      <c r="G32" s="8">
        <f t="shared" si="18"/>
        <v>7692.2160000000003</v>
      </c>
      <c r="H32" s="8">
        <f t="shared" si="18"/>
        <v>9570.9600000000009</v>
      </c>
      <c r="I32" s="8">
        <f t="shared" si="18"/>
        <v>9889.9920000000002</v>
      </c>
      <c r="J32" s="8">
        <f t="shared" si="18"/>
        <v>10439.436000000002</v>
      </c>
      <c r="K32" s="8">
        <f t="shared" si="18"/>
        <v>9039.24</v>
      </c>
      <c r="L32" s="8">
        <f t="shared" si="18"/>
        <v>7692.2160000000003</v>
      </c>
      <c r="M32" s="8">
        <f t="shared" si="18"/>
        <v>6380.64</v>
      </c>
      <c r="N32" s="8">
        <f t="shared" si="18"/>
        <v>5494.4400000000005</v>
      </c>
      <c r="O32" s="5">
        <f t="shared" si="16"/>
        <v>86989.392000000007</v>
      </c>
    </row>
    <row r="33" spans="1:16" x14ac:dyDescent="0.2">
      <c r="A33" s="27" t="s">
        <v>59</v>
      </c>
      <c r="B33" s="12">
        <v>0.04</v>
      </c>
      <c r="C33" s="8">
        <f>C25*$B$33</f>
        <v>3516.4415999999997</v>
      </c>
      <c r="D33" s="8">
        <f t="shared" ref="D33:N33" si="19">D25*$B$33</f>
        <v>3176.1407999999997</v>
      </c>
      <c r="E33" s="8">
        <f t="shared" si="19"/>
        <v>4835.1072000000004</v>
      </c>
      <c r="F33" s="8">
        <f t="shared" si="19"/>
        <v>5104.5120000000006</v>
      </c>
      <c r="G33" s="8">
        <f t="shared" si="19"/>
        <v>6153.7728000000006</v>
      </c>
      <c r="H33" s="8">
        <f t="shared" si="19"/>
        <v>7656.7680000000009</v>
      </c>
      <c r="I33" s="8">
        <f t="shared" si="19"/>
        <v>7911.9935999999998</v>
      </c>
      <c r="J33" s="8">
        <f t="shared" si="19"/>
        <v>8351.5488000000005</v>
      </c>
      <c r="K33" s="8">
        <f t="shared" si="19"/>
        <v>7231.3919999999998</v>
      </c>
      <c r="L33" s="8">
        <f t="shared" si="19"/>
        <v>6153.7728000000006</v>
      </c>
      <c r="M33" s="8">
        <f t="shared" si="19"/>
        <v>5104.5120000000006</v>
      </c>
      <c r="N33" s="8">
        <f t="shared" si="19"/>
        <v>4395.5520000000006</v>
      </c>
      <c r="O33" s="5">
        <f t="shared" si="16"/>
        <v>69591.513599999991</v>
      </c>
    </row>
    <row r="34" spans="1:16" x14ac:dyDescent="0.2">
      <c r="A34" s="27" t="s">
        <v>60</v>
      </c>
      <c r="B34" s="12"/>
      <c r="C34" s="8">
        <v>900</v>
      </c>
      <c r="D34" s="8">
        <v>900</v>
      </c>
      <c r="E34" s="8">
        <v>900</v>
      </c>
      <c r="F34" s="8">
        <v>900</v>
      </c>
      <c r="G34" s="8">
        <v>900</v>
      </c>
      <c r="H34" s="8">
        <v>900</v>
      </c>
      <c r="I34" s="8">
        <v>900</v>
      </c>
      <c r="J34" s="8">
        <v>900</v>
      </c>
      <c r="K34" s="8">
        <v>900</v>
      </c>
      <c r="L34" s="8">
        <v>900</v>
      </c>
      <c r="M34" s="8">
        <v>900</v>
      </c>
      <c r="N34" s="8">
        <v>900</v>
      </c>
      <c r="O34" s="5">
        <f t="shared" si="16"/>
        <v>10800</v>
      </c>
      <c r="P34" s="11"/>
    </row>
    <row r="35" spans="1:16" x14ac:dyDescent="0.2">
      <c r="A35" s="27" t="s">
        <v>61</v>
      </c>
      <c r="B35" s="12"/>
      <c r="C35" s="8">
        <v>3350</v>
      </c>
      <c r="D35" s="8">
        <v>3350</v>
      </c>
      <c r="E35" s="8">
        <v>3350</v>
      </c>
      <c r="F35" s="8">
        <v>3350</v>
      </c>
      <c r="G35" s="8">
        <v>3350</v>
      </c>
      <c r="H35" s="8">
        <v>3350</v>
      </c>
      <c r="I35" s="8">
        <v>3350</v>
      </c>
      <c r="J35" s="8">
        <v>3350</v>
      </c>
      <c r="K35" s="8">
        <v>3350</v>
      </c>
      <c r="L35" s="8">
        <v>3350</v>
      </c>
      <c r="M35" s="8">
        <v>3350</v>
      </c>
      <c r="N35" s="8">
        <v>3350</v>
      </c>
      <c r="O35" s="5">
        <f t="shared" si="16"/>
        <v>40200</v>
      </c>
    </row>
    <row r="36" spans="1:16" x14ac:dyDescent="0.2">
      <c r="A36" s="27" t="s">
        <v>62</v>
      </c>
      <c r="B36" s="12"/>
      <c r="C36" s="8">
        <v>550</v>
      </c>
      <c r="D36" s="8">
        <v>550</v>
      </c>
      <c r="E36" s="8">
        <v>550</v>
      </c>
      <c r="F36" s="8">
        <v>550</v>
      </c>
      <c r="G36" s="8">
        <v>550</v>
      </c>
      <c r="H36" s="8">
        <v>550</v>
      </c>
      <c r="I36" s="8">
        <v>550</v>
      </c>
      <c r="J36" s="8">
        <v>550</v>
      </c>
      <c r="K36" s="8">
        <v>550</v>
      </c>
      <c r="L36" s="8">
        <v>550</v>
      </c>
      <c r="M36" s="8">
        <v>550</v>
      </c>
      <c r="N36" s="8">
        <v>550</v>
      </c>
      <c r="O36" s="5">
        <f t="shared" si="16"/>
        <v>6600</v>
      </c>
    </row>
    <row r="37" spans="1:16" x14ac:dyDescent="0.2">
      <c r="A37" s="27" t="s">
        <v>63</v>
      </c>
      <c r="B37" s="12"/>
      <c r="C37" s="8">
        <v>555</v>
      </c>
      <c r="D37" s="8">
        <v>555</v>
      </c>
      <c r="E37" s="8">
        <v>555</v>
      </c>
      <c r="F37" s="8">
        <v>555</v>
      </c>
      <c r="G37" s="8">
        <v>555</v>
      </c>
      <c r="H37" s="8">
        <v>555</v>
      </c>
      <c r="I37" s="8">
        <v>555</v>
      </c>
      <c r="J37" s="8">
        <v>555</v>
      </c>
      <c r="K37" s="8">
        <v>555</v>
      </c>
      <c r="L37" s="8">
        <v>555</v>
      </c>
      <c r="M37" s="8">
        <v>555</v>
      </c>
      <c r="N37" s="8">
        <v>555</v>
      </c>
      <c r="O37" s="5">
        <f t="shared" si="16"/>
        <v>6660</v>
      </c>
    </row>
    <row r="38" spans="1:16" x14ac:dyDescent="0.2">
      <c r="A38" s="27" t="s">
        <v>15</v>
      </c>
      <c r="B38" s="12"/>
      <c r="C38" s="8">
        <v>2200</v>
      </c>
      <c r="D38" s="8">
        <v>2200</v>
      </c>
      <c r="E38" s="8">
        <v>2200</v>
      </c>
      <c r="F38" s="8">
        <v>2200</v>
      </c>
      <c r="G38" s="8">
        <v>2200</v>
      </c>
      <c r="H38" s="8">
        <v>2200</v>
      </c>
      <c r="I38" s="8">
        <v>2200</v>
      </c>
      <c r="J38" s="8">
        <v>2200</v>
      </c>
      <c r="K38" s="8">
        <v>2200</v>
      </c>
      <c r="L38" s="8">
        <v>2200</v>
      </c>
      <c r="M38" s="8">
        <v>2200</v>
      </c>
      <c r="N38" s="8">
        <v>2200</v>
      </c>
      <c r="O38" s="5">
        <f t="shared" si="16"/>
        <v>26400</v>
      </c>
      <c r="P38" s="11"/>
    </row>
    <row r="39" spans="1:16" ht="25.5" x14ac:dyDescent="0.2">
      <c r="A39" s="27" t="s">
        <v>16</v>
      </c>
      <c r="B39" s="12"/>
      <c r="C39" s="8">
        <v>450</v>
      </c>
      <c r="D39" s="8">
        <v>450</v>
      </c>
      <c r="E39" s="8">
        <v>450</v>
      </c>
      <c r="F39" s="8">
        <v>450</v>
      </c>
      <c r="G39" s="8">
        <v>450</v>
      </c>
      <c r="H39" s="8">
        <v>450</v>
      </c>
      <c r="I39" s="8">
        <v>450</v>
      </c>
      <c r="J39" s="8">
        <v>450</v>
      </c>
      <c r="K39" s="8">
        <v>450</v>
      </c>
      <c r="L39" s="8">
        <v>450</v>
      </c>
      <c r="M39" s="8">
        <v>450</v>
      </c>
      <c r="N39" s="8">
        <v>450</v>
      </c>
      <c r="O39" s="5">
        <f t="shared" si="16"/>
        <v>5400</v>
      </c>
    </row>
    <row r="40" spans="1:16" x14ac:dyDescent="0.2">
      <c r="A40" s="27" t="s">
        <v>17</v>
      </c>
      <c r="B40" s="12"/>
      <c r="C40" s="8">
        <v>1300</v>
      </c>
      <c r="D40" s="8">
        <v>1300</v>
      </c>
      <c r="E40" s="8">
        <v>1300</v>
      </c>
      <c r="F40" s="8">
        <v>1300</v>
      </c>
      <c r="G40" s="8">
        <v>1300</v>
      </c>
      <c r="H40" s="8">
        <v>1300</v>
      </c>
      <c r="I40" s="8">
        <v>1300</v>
      </c>
      <c r="J40" s="8">
        <v>1300</v>
      </c>
      <c r="K40" s="8">
        <v>1300</v>
      </c>
      <c r="L40" s="8">
        <v>1300</v>
      </c>
      <c r="M40" s="8">
        <v>1300</v>
      </c>
      <c r="N40" s="8">
        <v>1300</v>
      </c>
      <c r="O40" s="5">
        <f t="shared" si="16"/>
        <v>15600</v>
      </c>
    </row>
    <row r="41" spans="1:16" x14ac:dyDescent="0.2">
      <c r="A41" s="27" t="s">
        <v>22</v>
      </c>
      <c r="B41" s="12"/>
      <c r="C41" s="8">
        <v>250</v>
      </c>
      <c r="D41" s="8">
        <v>250</v>
      </c>
      <c r="E41" s="8">
        <v>250</v>
      </c>
      <c r="F41" s="8">
        <v>250</v>
      </c>
      <c r="G41" s="8">
        <v>250</v>
      </c>
      <c r="H41" s="8">
        <v>250</v>
      </c>
      <c r="I41" s="8">
        <v>250</v>
      </c>
      <c r="J41" s="8">
        <v>250</v>
      </c>
      <c r="K41" s="8">
        <v>250</v>
      </c>
      <c r="L41" s="8">
        <v>250</v>
      </c>
      <c r="M41" s="8">
        <v>250</v>
      </c>
      <c r="N41" s="8">
        <v>250</v>
      </c>
      <c r="O41" s="5">
        <f t="shared" si="16"/>
        <v>3000</v>
      </c>
      <c r="P41" s="11"/>
    </row>
    <row r="42" spans="1:16" x14ac:dyDescent="0.2">
      <c r="A42" s="27" t="s">
        <v>23</v>
      </c>
      <c r="B42" s="12"/>
      <c r="C42" s="8">
        <v>1100</v>
      </c>
      <c r="D42" s="8">
        <v>1100</v>
      </c>
      <c r="E42" s="8">
        <v>1100</v>
      </c>
      <c r="F42" s="8">
        <v>1100</v>
      </c>
      <c r="G42" s="8">
        <v>1100</v>
      </c>
      <c r="H42" s="8">
        <v>1100</v>
      </c>
      <c r="I42" s="8">
        <v>1100</v>
      </c>
      <c r="J42" s="8">
        <v>1100</v>
      </c>
      <c r="K42" s="8">
        <v>1100</v>
      </c>
      <c r="L42" s="8">
        <v>1100</v>
      </c>
      <c r="M42" s="8">
        <v>1100</v>
      </c>
      <c r="N42" s="8">
        <v>1100</v>
      </c>
      <c r="O42" s="5">
        <f t="shared" si="16"/>
        <v>13200</v>
      </c>
    </row>
    <row r="43" spans="1:16" x14ac:dyDescent="0.2">
      <c r="A43" s="27" t="s">
        <v>24</v>
      </c>
      <c r="B43" s="12"/>
      <c r="C43" s="8">
        <v>95</v>
      </c>
      <c r="D43" s="8">
        <v>95</v>
      </c>
      <c r="E43" s="8">
        <v>95</v>
      </c>
      <c r="F43" s="8">
        <v>95</v>
      </c>
      <c r="G43" s="8">
        <v>95</v>
      </c>
      <c r="H43" s="8">
        <v>95</v>
      </c>
      <c r="I43" s="8">
        <v>95</v>
      </c>
      <c r="J43" s="8">
        <v>95</v>
      </c>
      <c r="K43" s="8">
        <v>95</v>
      </c>
      <c r="L43" s="8">
        <v>95</v>
      </c>
      <c r="M43" s="8">
        <v>95</v>
      </c>
      <c r="N43" s="8">
        <v>95</v>
      </c>
      <c r="O43" s="5">
        <f t="shared" si="16"/>
        <v>1140</v>
      </c>
    </row>
    <row r="44" spans="1:16" x14ac:dyDescent="0.2">
      <c r="A44" s="27" t="s">
        <v>43</v>
      </c>
      <c r="B44" s="12"/>
      <c r="C44" s="8">
        <v>2200</v>
      </c>
      <c r="D44" s="8">
        <v>2200</v>
      </c>
      <c r="E44" s="8">
        <v>2200</v>
      </c>
      <c r="F44" s="8">
        <v>2200</v>
      </c>
      <c r="G44" s="8">
        <v>2200</v>
      </c>
      <c r="H44" s="8">
        <v>2200</v>
      </c>
      <c r="I44" s="8">
        <v>2200</v>
      </c>
      <c r="J44" s="8">
        <v>2200</v>
      </c>
      <c r="K44" s="8">
        <v>2200</v>
      </c>
      <c r="L44" s="8">
        <v>2200</v>
      </c>
      <c r="M44" s="8">
        <v>2200</v>
      </c>
      <c r="N44" s="8">
        <v>2200</v>
      </c>
      <c r="O44" s="5">
        <f t="shared" si="16"/>
        <v>26400</v>
      </c>
    </row>
    <row r="45" spans="1:16" x14ac:dyDescent="0.2">
      <c r="A45" s="28" t="s">
        <v>37</v>
      </c>
      <c r="B45" s="31"/>
      <c r="C45" s="24">
        <f>SUM(C28:C44)</f>
        <v>50537.529600000002</v>
      </c>
      <c r="D45" s="24">
        <f t="shared" ref="D45:O45" si="20">SUM(D28:D44)</f>
        <v>47432.284799999994</v>
      </c>
      <c r="E45" s="24">
        <f t="shared" si="20"/>
        <v>62570.353199999998</v>
      </c>
      <c r="F45" s="24">
        <f t="shared" si="20"/>
        <v>65028.672000000006</v>
      </c>
      <c r="G45" s="24">
        <f t="shared" si="20"/>
        <v>74603.176800000001</v>
      </c>
      <c r="H45" s="24">
        <f t="shared" si="20"/>
        <v>88318.008000000002</v>
      </c>
      <c r="I45" s="24">
        <f t="shared" si="20"/>
        <v>90646.941600000006</v>
      </c>
      <c r="J45" s="24">
        <f t="shared" si="20"/>
        <v>94657.882800000007</v>
      </c>
      <c r="K45" s="24">
        <f t="shared" si="20"/>
        <v>84436.45199999999</v>
      </c>
      <c r="L45" s="24">
        <f t="shared" si="20"/>
        <v>74603.176800000001</v>
      </c>
      <c r="M45" s="24">
        <f t="shared" si="20"/>
        <v>65028.672000000006</v>
      </c>
      <c r="N45" s="24">
        <f t="shared" si="20"/>
        <v>58559.412000000004</v>
      </c>
      <c r="O45" s="24">
        <f t="shared" si="20"/>
        <v>856422.56160000002</v>
      </c>
    </row>
    <row r="47" spans="1:16" x14ac:dyDescent="0.2">
      <c r="A47" s="28" t="s">
        <v>66</v>
      </c>
      <c r="C47" s="24">
        <f>SUM(C25,-C45)</f>
        <v>37373.510399999992</v>
      </c>
      <c r="D47" s="24">
        <f t="shared" ref="D47:O47" si="21">SUM(D25,-D45)</f>
        <v>31971.235199999996</v>
      </c>
      <c r="E47" s="24">
        <f t="shared" si="21"/>
        <v>58307.32680000001</v>
      </c>
      <c r="F47" s="24">
        <f t="shared" si="21"/>
        <v>62584.127999999997</v>
      </c>
      <c r="G47" s="24">
        <f t="shared" si="21"/>
        <v>79241.143200000006</v>
      </c>
      <c r="H47" s="24">
        <f t="shared" si="21"/>
        <v>103101.19200000001</v>
      </c>
      <c r="I47" s="24">
        <f t="shared" si="21"/>
        <v>107152.89839999999</v>
      </c>
      <c r="J47" s="24">
        <f t="shared" si="21"/>
        <v>114130.83719999999</v>
      </c>
      <c r="K47" s="24">
        <f t="shared" si="21"/>
        <v>96348.347999999998</v>
      </c>
      <c r="L47" s="24">
        <f t="shared" si="21"/>
        <v>79241.143200000006</v>
      </c>
      <c r="M47" s="24">
        <f t="shared" si="21"/>
        <v>62584.127999999997</v>
      </c>
      <c r="N47" s="24">
        <f t="shared" si="21"/>
        <v>51329.387999999999</v>
      </c>
      <c r="O47" s="24">
        <f t="shared" si="21"/>
        <v>883365.2784000003</v>
      </c>
    </row>
    <row r="48" spans="1:16" ht="12.75" customHeight="1" x14ac:dyDescent="0.2"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5" x14ac:dyDescent="0.2">
      <c r="A49" s="46" t="s">
        <v>73</v>
      </c>
      <c r="B49" s="46"/>
      <c r="C49" s="46"/>
      <c r="D49" s="46"/>
      <c r="E49" s="46"/>
    </row>
    <row r="50" spans="1:5" x14ac:dyDescent="0.2">
      <c r="A50" s="34" t="s">
        <v>74</v>
      </c>
      <c r="B50" s="34"/>
      <c r="C50" s="34"/>
      <c r="D50" s="34"/>
      <c r="E50" s="34"/>
    </row>
    <row r="51" spans="1:5" x14ac:dyDescent="0.2">
      <c r="A51" s="30" t="s">
        <v>67</v>
      </c>
      <c r="B51">
        <v>10</v>
      </c>
      <c r="C51" s="8">
        <v>6500</v>
      </c>
      <c r="D51" s="8">
        <f>B51*C51</f>
        <v>65000</v>
      </c>
    </row>
    <row r="52" spans="1:5" x14ac:dyDescent="0.2">
      <c r="A52" s="30" t="s">
        <v>68</v>
      </c>
      <c r="B52">
        <v>1</v>
      </c>
      <c r="C52" s="8">
        <v>50000</v>
      </c>
      <c r="D52" s="8">
        <f t="shared" ref="D52:D53" si="22">B52*C52</f>
        <v>50000</v>
      </c>
    </row>
    <row r="53" spans="1:5" x14ac:dyDescent="0.2">
      <c r="A53" s="30" t="s">
        <v>69</v>
      </c>
      <c r="B53">
        <f>B4</f>
        <v>5</v>
      </c>
      <c r="C53" s="8">
        <v>1500</v>
      </c>
      <c r="D53" s="8">
        <f t="shared" si="22"/>
        <v>7500</v>
      </c>
    </row>
    <row r="54" spans="1:5" x14ac:dyDescent="0.2">
      <c r="A54" s="28" t="s">
        <v>37</v>
      </c>
      <c r="B54" s="2"/>
      <c r="C54" s="5"/>
      <c r="D54" s="5">
        <f>SUM(D51:D53)</f>
        <v>122500</v>
      </c>
    </row>
    <row r="55" spans="1:5" x14ac:dyDescent="0.2">
      <c r="E55" s="32" t="s">
        <v>72</v>
      </c>
    </row>
    <row r="56" spans="1:5" x14ac:dyDescent="0.2">
      <c r="A56" s="30" t="s">
        <v>70</v>
      </c>
      <c r="D56" s="8">
        <v>7250000</v>
      </c>
      <c r="E56" s="12">
        <f>'T12'!B40/'Year 1 Proforma '!D56</f>
        <v>9.9467696551724119E-2</v>
      </c>
    </row>
    <row r="57" spans="1:5" x14ac:dyDescent="0.2">
      <c r="A57" s="30" t="s">
        <v>71</v>
      </c>
      <c r="B57" s="25">
        <v>0.02</v>
      </c>
      <c r="D57" s="11">
        <f>D56*B57</f>
        <v>145000</v>
      </c>
    </row>
    <row r="58" spans="1:5" x14ac:dyDescent="0.2">
      <c r="A58" s="30" t="str">
        <f>A50</f>
        <v>YEAR 1 CAPEX</v>
      </c>
      <c r="D58" s="11">
        <f>D54</f>
        <v>122500</v>
      </c>
    </row>
    <row r="59" spans="1:5" x14ac:dyDescent="0.2">
      <c r="A59" s="28" t="s">
        <v>78</v>
      </c>
      <c r="B59" s="2"/>
      <c r="C59" s="2"/>
      <c r="D59" s="24">
        <f>SUM(D56:D58)</f>
        <v>7517500</v>
      </c>
      <c r="E59" s="31">
        <f>O47/D59</f>
        <v>0.11750785213169276</v>
      </c>
    </row>
    <row r="60" spans="1:5" x14ac:dyDescent="0.2">
      <c r="A60" s="30" t="s">
        <v>75</v>
      </c>
      <c r="B60" s="25">
        <v>0.7</v>
      </c>
      <c r="D60" s="11">
        <f>D59*B60</f>
        <v>5262250</v>
      </c>
    </row>
    <row r="61" spans="1:5" x14ac:dyDescent="0.2">
      <c r="A61" s="30" t="s">
        <v>76</v>
      </c>
      <c r="B61" s="25">
        <v>0.08</v>
      </c>
      <c r="C61">
        <v>25</v>
      </c>
      <c r="D61" s="35">
        <f>PMT(B61/12,C61*12,D60)</f>
        <v>-40614.899003955856</v>
      </c>
      <c r="E61" s="35">
        <f>D61*12</f>
        <v>-487378.78804747027</v>
      </c>
    </row>
    <row r="62" spans="1:5" x14ac:dyDescent="0.2">
      <c r="A62" s="30" t="s">
        <v>77</v>
      </c>
      <c r="D62" s="36">
        <f>-O47/E61</f>
        <v>1.8124819956546021</v>
      </c>
    </row>
    <row r="63" spans="1:5" x14ac:dyDescent="0.2">
      <c r="A63" s="28" t="s">
        <v>79</v>
      </c>
      <c r="B63" s="2"/>
      <c r="C63" s="2"/>
      <c r="D63" s="24">
        <f>D56+D56*B57</f>
        <v>7395000</v>
      </c>
      <c r="E63" s="31">
        <f>E56</f>
        <v>9.9467696551724119E-2</v>
      </c>
    </row>
    <row r="64" spans="1:5" x14ac:dyDescent="0.2">
      <c r="A64" s="30" t="s">
        <v>75</v>
      </c>
      <c r="B64" s="25">
        <v>0.7</v>
      </c>
      <c r="D64" s="11">
        <f>D63*B64</f>
        <v>5176500</v>
      </c>
    </row>
    <row r="65" spans="1:5" x14ac:dyDescent="0.2">
      <c r="A65" s="30" t="s">
        <v>76</v>
      </c>
      <c r="B65" s="25">
        <v>0.08</v>
      </c>
      <c r="C65">
        <v>25</v>
      </c>
      <c r="D65" s="35">
        <f>PMT(B65/12,C65*12,D64)</f>
        <v>-39953.066595843506</v>
      </c>
      <c r="E65" s="35">
        <f>D65*12</f>
        <v>-479436.7991501221</v>
      </c>
    </row>
    <row r="66" spans="1:5" x14ac:dyDescent="0.2">
      <c r="A66" s="30" t="s">
        <v>77</v>
      </c>
      <c r="D66" s="36">
        <f>-'T12'!B40/'Year 1 Proforma '!E65</f>
        <v>1.50414152872357</v>
      </c>
    </row>
  </sheetData>
  <mergeCells count="4">
    <mergeCell ref="A8:O8"/>
    <mergeCell ref="A14:O14"/>
    <mergeCell ref="A27:O27"/>
    <mergeCell ref="A49:E49"/>
  </mergeCells>
  <phoneticPr fontId="8" type="noConversion"/>
  <pageMargins left="1" right="1" top="1" bottom="1" header="0.5" footer="0.5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T12</vt:lpstr>
      <vt:lpstr>2022 P&amp;L</vt:lpstr>
      <vt:lpstr>2023 P&amp;L</vt:lpstr>
      <vt:lpstr>Year 1 Proforma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&lt;Standard&gt; Income - 12 Period</dc:title>
  <dc:creator>Peg Jones</dc:creator>
  <cp:lastModifiedBy>David du Menil</cp:lastModifiedBy>
  <cp:lastPrinted>2023-08-30T14:11:05Z</cp:lastPrinted>
  <dcterms:created xsi:type="dcterms:W3CDTF">2023-05-19T21:58:09Z</dcterms:created>
  <dcterms:modified xsi:type="dcterms:W3CDTF">2023-08-31T14:25:00Z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2023-02-20T00:00:00Z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2023-05-19T00:00:00Z</vt:filetime>
  </property>
  <property fmtid="{D5CDD505-2E9C-101B-9397-08002B2CF9AE}" pid="5" name="Producer">
    <vt:lpwstr>Acrobat Distiller 22.0 (Windows)</vt:lpwstr>
  </property>
</Properties>
</file>