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fit and Loss (Jan 23 - Nov 2" sheetId="1" r:id="rId4"/>
  </sheets>
  <definedNames/>
  <calcPr/>
  <extLst>
    <ext uri="GoogleSheetsCustomDataVersion2">
      <go:sheetsCustomData xmlns:go="http://customooxmlschemas.google.com/" r:id="rId5" roundtripDataChecksum="/KUjTNvvc7tIoIUOF3lscB6xHqwySaasCiAt0zFq2/A="/>
    </ext>
  </extLst>
</workbook>
</file>

<file path=xl/sharedStrings.xml><?xml version="1.0" encoding="utf-8"?>
<sst xmlns="http://schemas.openxmlformats.org/spreadsheetml/2006/main" count="68" uniqueCount="68">
  <si>
    <t>HWP, LLC</t>
  </si>
  <si>
    <t>Profit and Loss</t>
  </si>
  <si>
    <t>January - December 2023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</si>
  <si>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</si>
  <si>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</si>
  <si>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</si>
  <si>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</si>
  <si>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</si>
  <si>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</si>
  <si>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</si>
  <si>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</si>
  <si>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</si>
  <si>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</si>
  <si>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</si>
  <si>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</si>
  <si>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Total</t>
  </si>
  <si>
    <t>T-11 Annualized</t>
  </si>
  <si>
    <t>Income</t>
  </si>
  <si>
    <t xml:space="preserve">   Application Fee Income - Acorn and Oak Management</t>
  </si>
  <si>
    <t xml:space="preserve">   Concessions (Income) - Acorn &amp; Oak Management</t>
  </si>
  <si>
    <t xml:space="preserve">   Late Fee - Acorn &amp; Oak</t>
  </si>
  <si>
    <t xml:space="preserve">   Monthly Pet Fee - Acorn and Oak Management</t>
  </si>
  <si>
    <t xml:space="preserve">   Rental Income - Acorn &amp; Oak</t>
  </si>
  <si>
    <t xml:space="preserve">   Repairs Charged to Tenant - Acorn and Oak Management</t>
  </si>
  <si>
    <t xml:space="preserve">   Miscellaneous Income</t>
  </si>
  <si>
    <t>Total Income</t>
  </si>
  <si>
    <t>Gross Profit</t>
  </si>
  <si>
    <t>Expenses</t>
  </si>
  <si>
    <t xml:space="preserve">   Filing Fees</t>
  </si>
  <si>
    <t xml:space="preserve">   General business expenses</t>
  </si>
  <si>
    <t xml:space="preserve">   Insurance</t>
  </si>
  <si>
    <t xml:space="preserve">   Interest paid</t>
  </si>
  <si>
    <t xml:space="preserve">      Mortgage interest</t>
  </si>
  <si>
    <t xml:space="preserve">   Total Interest paid</t>
  </si>
  <si>
    <t xml:space="preserve">   Legal &amp; accounting services</t>
  </si>
  <si>
    <t xml:space="preserve">      Legal fees</t>
  </si>
  <si>
    <t xml:space="preserve">   Total Legal &amp; accounting services</t>
  </si>
  <si>
    <t xml:space="preserve">   Legal &amp; Professional Fees - Acorn and Oak Management</t>
  </si>
  <si>
    <t xml:space="preserve">   Light Bulbs - Acorn and Oak Management</t>
  </si>
  <si>
    <t xml:space="preserve">   Management Fees - Acorn and Oak Management</t>
  </si>
  <si>
    <t xml:space="preserve">   Miscellaneous Expense</t>
  </si>
  <si>
    <t xml:space="preserve">   Miscellaneous Expense - Acorn and Oak Management</t>
  </si>
  <si>
    <t xml:space="preserve">   Office expenses</t>
  </si>
  <si>
    <t xml:space="preserve">      Software &amp; apps</t>
  </si>
  <si>
    <t xml:space="preserve">   Total Office expenses</t>
  </si>
  <si>
    <t xml:space="preserve">   Other Fees - Acorn and Oak Management</t>
  </si>
  <si>
    <t xml:space="preserve">   Other Turnover Expenses - Acorn and Oak</t>
  </si>
  <si>
    <t>Total Repairs &amp; Maintenance</t>
  </si>
  <si>
    <t xml:space="preserve">   Utilities</t>
  </si>
  <si>
    <t xml:space="preserve">   Utilities - Acorn and Oak Management</t>
  </si>
  <si>
    <t>Real Estate Taxes</t>
  </si>
  <si>
    <t>Insurance</t>
  </si>
  <si>
    <t>Total Expenses</t>
  </si>
  <si>
    <t>Net Operating Income</t>
  </si>
  <si>
    <t>Non-Recurring Expenses</t>
  </si>
  <si>
    <t>Hot Water Heater</t>
  </si>
  <si>
    <t>Toilet/Shower Rebuild</t>
  </si>
  <si>
    <t>Roof Repair</t>
  </si>
  <si>
    <t>Water Leak</t>
  </si>
  <si>
    <t>Leak Detection</t>
  </si>
  <si>
    <t>Construction Rebuild</t>
  </si>
  <si>
    <t>Water Mitigation</t>
  </si>
  <si>
    <t>Water Line Capping</t>
  </si>
  <si>
    <t>Insurance Proceeds</t>
  </si>
  <si>
    <t>Initial Flooding</t>
  </si>
  <si>
    <t>HVAC Repair</t>
  </si>
  <si>
    <t>Partnership Tax Return</t>
  </si>
  <si>
    <t>Sunday, Jan 07, 2024 09:12:04 PM GMT-8 - Cash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</si>
</sst>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_€"/>
    <numFmt numFmtId="165" formatCode="&quot;$&quot;* #,##0.00\ _€"/>
    <numFmt numFmtId="166" formatCode="&quot;$&quot;#,##0.00"/>
    <numFmt numFmtId="167" formatCode="_(&quot;$&quot;* #,##0.00_);_(&quot;$&quot;* \(#,##0.00\);_(&quot;$&quot;* &quot;-&quot;??_);_(@_)"/>
  </numFmts>
  <fonts count="10">
    <font>
      <sz val="10.0"/>
      <color rgb="FF000000"/>
      <name val="Calibri"/>
      <scheme val="minor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  <font>
      <sz val="10.0"/>
      <color theme="1"/>
      <name val="Calibri"/>
    </font>
    <font>
      <b/>
      <sz val="10.0"/>
      <color theme="1"/>
      <name val="Calibri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left" shrinkToFit="0" wrapText="1"/>
    </xf>
    <xf borderId="0" fillId="0" fontId="6" numFmtId="164" xfId="0" applyAlignment="1" applyFont="1" applyNumberFormat="1">
      <alignment shrinkToFit="0" wrapText="1"/>
    </xf>
    <xf borderId="0" fillId="0" fontId="6" numFmtId="164" xfId="0" applyAlignment="1" applyFont="1" applyNumberFormat="1">
      <alignment horizontal="right" shrinkToFit="0" wrapText="1"/>
    </xf>
    <xf borderId="2" fillId="0" fontId="5" numFmtId="165" xfId="0" applyAlignment="1" applyBorder="1" applyFont="1" applyNumberFormat="1">
      <alignment horizontal="right" shrinkToFit="0" wrapText="1"/>
    </xf>
    <xf borderId="3" fillId="2" fontId="5" numFmtId="0" xfId="0" applyAlignment="1" applyBorder="1" applyFill="1" applyFont="1">
      <alignment horizontal="left" shrinkToFit="0" wrapText="1"/>
    </xf>
    <xf borderId="3" fillId="2" fontId="6" numFmtId="164" xfId="0" applyAlignment="1" applyBorder="1" applyFont="1" applyNumberFormat="1">
      <alignment shrinkToFit="0" wrapText="1"/>
    </xf>
    <xf borderId="3" fillId="2" fontId="6" numFmtId="164" xfId="0" applyAlignment="1" applyBorder="1" applyFont="1" applyNumberFormat="1">
      <alignment horizontal="right" shrinkToFit="0" wrapText="1"/>
    </xf>
    <xf borderId="0" fillId="0" fontId="7" numFmtId="166" xfId="0" applyFont="1" applyNumberFormat="1"/>
    <xf borderId="0" fillId="0" fontId="7" numFmtId="0" xfId="0" applyFont="1"/>
    <xf borderId="0" fillId="0" fontId="8" numFmtId="0" xfId="0" applyFont="1"/>
    <xf borderId="0" fillId="0" fontId="8" numFmtId="166" xfId="0" applyFont="1" applyNumberFormat="1"/>
    <xf borderId="0" fillId="0" fontId="9" numFmtId="167" xfId="0" applyFont="1" applyNumberFormat="1"/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 outlineLevelRow="1"/>
  <cols>
    <col customWidth="1" min="1" max="1" width="55.86"/>
    <col customWidth="1" min="2" max="12" width="15.57"/>
    <col customWidth="1" min="13" max="13" width="7.86"/>
    <col customWidth="1" min="14" max="14" width="13.86"/>
    <col customWidth="1" min="15" max="15" width="16.29"/>
  </cols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2" t="s">
        <v>2</v>
      </c>
    </row>
    <row r="4" ht="15.75" customHeight="1"/>
    <row r="5" ht="15.75" customHeight="1">
      <c r="A5" s="3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</row>
    <row r="6" ht="15.75" customHeight="1">
      <c r="A6" s="5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15.75" customHeight="1">
      <c r="A7" s="5" t="s">
        <v>18</v>
      </c>
      <c r="B7" s="6"/>
      <c r="C7" s="6"/>
      <c r="D7" s="6"/>
      <c r="E7" s="6"/>
      <c r="F7" s="6"/>
      <c r="G7" s="7">
        <f>140</f>
        <v>140</v>
      </c>
      <c r="H7" s="7">
        <f>-140</f>
        <v>-140</v>
      </c>
      <c r="I7" s="6"/>
      <c r="J7" s="6"/>
      <c r="K7" s="6"/>
      <c r="L7" s="6"/>
      <c r="M7" s="6"/>
      <c r="N7" s="7">
        <f t="shared" ref="N7:N15" si="1">(((((((((((B7)+(C7))+(D7))+(E7))+(F7))+(G7))+(H7))+(I7))+(J7))+(K7))+(L7))+(M7)</f>
        <v>0</v>
      </c>
      <c r="O7" s="7">
        <f t="shared" ref="O7:O38" si="2">N7*12/11</f>
        <v>0</v>
      </c>
    </row>
    <row r="8" ht="15.75" customHeight="1">
      <c r="A8" s="5" t="s">
        <v>19</v>
      </c>
      <c r="B8" s="6"/>
      <c r="C8" s="6"/>
      <c r="D8" s="7">
        <f>-43.32</f>
        <v>-43.32</v>
      </c>
      <c r="E8" s="6"/>
      <c r="F8" s="6"/>
      <c r="G8" s="6"/>
      <c r="H8" s="6"/>
      <c r="I8" s="7">
        <f>-230.56</f>
        <v>-230.56</v>
      </c>
      <c r="J8" s="6"/>
      <c r="K8" s="6"/>
      <c r="L8" s="6"/>
      <c r="M8" s="6"/>
      <c r="N8" s="7">
        <f t="shared" si="1"/>
        <v>-273.88</v>
      </c>
      <c r="O8" s="7">
        <f t="shared" si="2"/>
        <v>-298.7781818</v>
      </c>
    </row>
    <row r="9" ht="15.75" customHeight="1">
      <c r="A9" s="5" t="s">
        <v>20</v>
      </c>
      <c r="B9" s="7">
        <f>-193.06</f>
        <v>-193.06</v>
      </c>
      <c r="C9" s="7">
        <f>-56.02</f>
        <v>-56.02</v>
      </c>
      <c r="D9" s="6"/>
      <c r="E9" s="6"/>
      <c r="F9" s="7">
        <f>1.63</f>
        <v>1.63</v>
      </c>
      <c r="G9" s="7">
        <f>35.39</f>
        <v>35.39</v>
      </c>
      <c r="H9" s="7">
        <f>-95.77</f>
        <v>-95.77</v>
      </c>
      <c r="I9" s="6"/>
      <c r="J9" s="7">
        <f>58.75</f>
        <v>58.75</v>
      </c>
      <c r="K9" s="6"/>
      <c r="L9" s="7">
        <f>-62</f>
        <v>-62</v>
      </c>
      <c r="M9" s="6"/>
      <c r="N9" s="7">
        <f t="shared" si="1"/>
        <v>-311.08</v>
      </c>
      <c r="O9" s="7">
        <f t="shared" si="2"/>
        <v>-339.36</v>
      </c>
    </row>
    <row r="10" ht="15.75" customHeight="1">
      <c r="A10" s="5" t="s">
        <v>21</v>
      </c>
      <c r="B10" s="7">
        <f t="shared" ref="B10:D10" si="3">25</f>
        <v>25</v>
      </c>
      <c r="C10" s="7">
        <f t="shared" si="3"/>
        <v>25</v>
      </c>
      <c r="D10" s="7">
        <f t="shared" si="3"/>
        <v>25</v>
      </c>
      <c r="E10" s="6"/>
      <c r="F10" s="6"/>
      <c r="G10" s="6"/>
      <c r="H10" s="6"/>
      <c r="I10" s="6"/>
      <c r="J10" s="6"/>
      <c r="K10" s="6"/>
      <c r="L10" s="6"/>
      <c r="M10" s="6"/>
      <c r="N10" s="7">
        <f t="shared" si="1"/>
        <v>75</v>
      </c>
      <c r="O10" s="7">
        <f t="shared" si="2"/>
        <v>81.81818182</v>
      </c>
    </row>
    <row r="11" ht="15.75" customHeight="1">
      <c r="A11" s="5" t="s">
        <v>22</v>
      </c>
      <c r="B11" s="7">
        <f>20762</f>
        <v>20762</v>
      </c>
      <c r="C11" s="7">
        <f>22887.99</f>
        <v>22887.99</v>
      </c>
      <c r="D11" s="7">
        <f>30093</f>
        <v>30093</v>
      </c>
      <c r="E11" s="7">
        <f>20293.82</f>
        <v>20293.82</v>
      </c>
      <c r="F11" s="7">
        <f>25656.38</f>
        <v>25656.38</v>
      </c>
      <c r="G11" s="7">
        <f>22540</f>
        <v>22540</v>
      </c>
      <c r="H11" s="7">
        <f>29628.14</f>
        <v>29628.14</v>
      </c>
      <c r="I11" s="7">
        <f>25662.28</f>
        <v>25662.28</v>
      </c>
      <c r="J11" s="7">
        <f>25657.85</f>
        <v>25657.85</v>
      </c>
      <c r="K11" s="7">
        <f>21520.9</f>
        <v>21520.9</v>
      </c>
      <c r="L11" s="7">
        <f>24820</f>
        <v>24820</v>
      </c>
      <c r="M11" s="6"/>
      <c r="N11" s="7">
        <f t="shared" si="1"/>
        <v>269522.36</v>
      </c>
      <c r="O11" s="7">
        <f t="shared" si="2"/>
        <v>294024.3927</v>
      </c>
    </row>
    <row r="12" ht="15.75" customHeight="1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7">
        <f>200</f>
        <v>200</v>
      </c>
      <c r="L12" s="6"/>
      <c r="M12" s="6"/>
      <c r="N12" s="7">
        <f t="shared" si="1"/>
        <v>200</v>
      </c>
      <c r="O12" s="7">
        <f t="shared" si="2"/>
        <v>218.1818182</v>
      </c>
    </row>
    <row r="13" ht="15.75" customHeight="1">
      <c r="A13" s="5" t="s">
        <v>24</v>
      </c>
      <c r="B13" s="6">
        <v>3.76</v>
      </c>
      <c r="C13" s="6">
        <v>0.91</v>
      </c>
      <c r="D13" s="6">
        <v>0.47</v>
      </c>
      <c r="E13" s="6">
        <v>0.48</v>
      </c>
      <c r="F13" s="6">
        <v>655.28</v>
      </c>
      <c r="G13" s="6">
        <v>78.14</v>
      </c>
      <c r="H13" s="6">
        <v>2.56</v>
      </c>
      <c r="I13" s="6">
        <v>263.07</v>
      </c>
      <c r="J13" s="6">
        <v>297.91</v>
      </c>
      <c r="K13" s="6">
        <v>310.93</v>
      </c>
      <c r="L13" s="6">
        <v>302.62</v>
      </c>
      <c r="M13" s="6"/>
      <c r="N13" s="7">
        <f t="shared" si="1"/>
        <v>1916.13</v>
      </c>
      <c r="O13" s="7">
        <f t="shared" si="2"/>
        <v>2090.323636</v>
      </c>
    </row>
    <row r="14" ht="15.75" customHeight="1">
      <c r="A14" s="5" t="s">
        <v>25</v>
      </c>
      <c r="B14" s="8">
        <f t="shared" ref="B14:L14" si="4">(((((B7)+(B8))+(B9))+(B10))+(B11))+(B12)+B13</f>
        <v>20597.7</v>
      </c>
      <c r="C14" s="8">
        <f t="shared" si="4"/>
        <v>22857.88</v>
      </c>
      <c r="D14" s="8">
        <f t="shared" si="4"/>
        <v>30075.15</v>
      </c>
      <c r="E14" s="8">
        <f t="shared" si="4"/>
        <v>20294.3</v>
      </c>
      <c r="F14" s="8">
        <f t="shared" si="4"/>
        <v>26313.29</v>
      </c>
      <c r="G14" s="8">
        <f t="shared" si="4"/>
        <v>22793.53</v>
      </c>
      <c r="H14" s="8">
        <f t="shared" si="4"/>
        <v>29394.93</v>
      </c>
      <c r="I14" s="8">
        <f t="shared" si="4"/>
        <v>25694.79</v>
      </c>
      <c r="J14" s="8">
        <f t="shared" si="4"/>
        <v>26014.51</v>
      </c>
      <c r="K14" s="8">
        <f t="shared" si="4"/>
        <v>22031.83</v>
      </c>
      <c r="L14" s="8">
        <f t="shared" si="4"/>
        <v>25060.62</v>
      </c>
      <c r="M14" s="8"/>
      <c r="N14" s="8">
        <f t="shared" si="1"/>
        <v>271128.53</v>
      </c>
      <c r="O14" s="8">
        <f t="shared" si="2"/>
        <v>295776.5782</v>
      </c>
    </row>
    <row r="15" ht="15.75" customHeight="1">
      <c r="A15" s="5" t="s">
        <v>26</v>
      </c>
      <c r="B15" s="8">
        <f t="shared" ref="B15:L15" si="5">(B14)-(0)</f>
        <v>20597.7</v>
      </c>
      <c r="C15" s="8">
        <f t="shared" si="5"/>
        <v>22857.88</v>
      </c>
      <c r="D15" s="8">
        <f t="shared" si="5"/>
        <v>30075.15</v>
      </c>
      <c r="E15" s="8">
        <f t="shared" si="5"/>
        <v>20294.3</v>
      </c>
      <c r="F15" s="8">
        <f t="shared" si="5"/>
        <v>26313.29</v>
      </c>
      <c r="G15" s="8">
        <f t="shared" si="5"/>
        <v>22793.53</v>
      </c>
      <c r="H15" s="8">
        <f t="shared" si="5"/>
        <v>29394.93</v>
      </c>
      <c r="I15" s="8">
        <f t="shared" si="5"/>
        <v>25694.79</v>
      </c>
      <c r="J15" s="8">
        <f t="shared" si="5"/>
        <v>26014.51</v>
      </c>
      <c r="K15" s="8">
        <f t="shared" si="5"/>
        <v>22031.83</v>
      </c>
      <c r="L15" s="8">
        <f t="shared" si="5"/>
        <v>25060.62</v>
      </c>
      <c r="M15" s="8"/>
      <c r="N15" s="8">
        <f t="shared" si="1"/>
        <v>271128.53</v>
      </c>
      <c r="O15" s="8">
        <f t="shared" si="2"/>
        <v>295776.5782</v>
      </c>
    </row>
    <row r="16" ht="15.75" customHeight="1">
      <c r="A16" s="5" t="s">
        <v>27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f t="shared" si="2"/>
        <v>0</v>
      </c>
    </row>
    <row r="17" ht="15.75" customHeight="1">
      <c r="A17" s="5" t="s">
        <v>28</v>
      </c>
      <c r="B17" s="6"/>
      <c r="C17" s="6"/>
      <c r="D17" s="6"/>
      <c r="E17" s="7">
        <f>818.4</f>
        <v>818.4</v>
      </c>
      <c r="F17" s="6"/>
      <c r="G17" s="6"/>
      <c r="H17" s="6"/>
      <c r="I17" s="7">
        <f>100</f>
        <v>100</v>
      </c>
      <c r="J17" s="6"/>
      <c r="K17" s="6"/>
      <c r="L17" s="6"/>
      <c r="M17" s="6"/>
      <c r="N17" s="7">
        <f t="shared" ref="N17:N38" si="6">(((((((((((B17)+(C17))+(D17))+(E17))+(F17))+(G17))+(H17))+(I17))+(J17))+(K17))+(L17))+(M17)</f>
        <v>918.4</v>
      </c>
      <c r="O17" s="7">
        <f t="shared" si="2"/>
        <v>1001.890909</v>
      </c>
    </row>
    <row r="18" ht="15.75" customHeight="1">
      <c r="A18" s="5" t="s">
        <v>29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>
        <f>195.98</f>
        <v>195.98</v>
      </c>
      <c r="M18" s="6"/>
      <c r="N18" s="7">
        <f t="shared" si="6"/>
        <v>195.98</v>
      </c>
      <c r="O18" s="7">
        <f t="shared" si="2"/>
        <v>213.7963636</v>
      </c>
    </row>
    <row r="19" ht="15.75" customHeight="1">
      <c r="A19" s="5" t="s">
        <v>30</v>
      </c>
      <c r="B19" s="7">
        <f>0</f>
        <v>0</v>
      </c>
      <c r="C19" s="6"/>
      <c r="D19" s="6"/>
      <c r="E19" s="6"/>
      <c r="F19" s="6"/>
      <c r="G19" s="6"/>
      <c r="H19" s="6"/>
      <c r="I19" s="6"/>
      <c r="J19" s="6"/>
      <c r="K19" s="6"/>
      <c r="L19" s="7">
        <f>-645</f>
        <v>-645</v>
      </c>
      <c r="M19" s="6"/>
      <c r="N19" s="7">
        <f t="shared" si="6"/>
        <v>-645</v>
      </c>
      <c r="O19" s="7">
        <f t="shared" si="2"/>
        <v>-703.6363636</v>
      </c>
    </row>
    <row r="20" ht="15.75" customHeight="1">
      <c r="A20" s="5" t="s">
        <v>31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>
        <f t="shared" si="6"/>
        <v>0</v>
      </c>
      <c r="O20" s="7">
        <f t="shared" si="2"/>
        <v>0</v>
      </c>
    </row>
    <row r="21" ht="15.75" customHeight="1">
      <c r="A21" s="5" t="s">
        <v>32</v>
      </c>
      <c r="B21" s="7">
        <v>0.0</v>
      </c>
      <c r="C21" s="7">
        <v>0.0</v>
      </c>
      <c r="D21" s="7">
        <v>0.0</v>
      </c>
      <c r="E21" s="7">
        <v>0.0</v>
      </c>
      <c r="F21" s="7">
        <v>0.0</v>
      </c>
      <c r="G21" s="7">
        <v>0.0</v>
      </c>
      <c r="H21" s="7">
        <v>0.0</v>
      </c>
      <c r="I21" s="7">
        <v>0.0</v>
      </c>
      <c r="J21" s="7">
        <v>0.0</v>
      </c>
      <c r="K21" s="7">
        <v>0.0</v>
      </c>
      <c r="L21" s="7">
        <v>0.0</v>
      </c>
      <c r="M21" s="6"/>
      <c r="N21" s="7">
        <f t="shared" si="6"/>
        <v>0</v>
      </c>
      <c r="O21" s="7">
        <f t="shared" si="2"/>
        <v>0</v>
      </c>
    </row>
    <row r="22" ht="15.75" customHeight="1">
      <c r="A22" s="5" t="s">
        <v>33</v>
      </c>
      <c r="B22" s="8">
        <f t="shared" ref="B22:L22" si="7">(B20)+(B21)</f>
        <v>0</v>
      </c>
      <c r="C22" s="8">
        <f t="shared" si="7"/>
        <v>0</v>
      </c>
      <c r="D22" s="8">
        <f t="shared" si="7"/>
        <v>0</v>
      </c>
      <c r="E22" s="8">
        <f t="shared" si="7"/>
        <v>0</v>
      </c>
      <c r="F22" s="8">
        <f t="shared" si="7"/>
        <v>0</v>
      </c>
      <c r="G22" s="8">
        <f t="shared" si="7"/>
        <v>0</v>
      </c>
      <c r="H22" s="8">
        <f t="shared" si="7"/>
        <v>0</v>
      </c>
      <c r="I22" s="8">
        <f t="shared" si="7"/>
        <v>0</v>
      </c>
      <c r="J22" s="8">
        <f t="shared" si="7"/>
        <v>0</v>
      </c>
      <c r="K22" s="8">
        <f t="shared" si="7"/>
        <v>0</v>
      </c>
      <c r="L22" s="8">
        <f t="shared" si="7"/>
        <v>0</v>
      </c>
      <c r="M22" s="8"/>
      <c r="N22" s="8">
        <f t="shared" si="6"/>
        <v>0</v>
      </c>
      <c r="O22" s="8">
        <f t="shared" si="2"/>
        <v>0</v>
      </c>
    </row>
    <row r="23" ht="15.75" customHeight="1">
      <c r="A23" s="5" t="s">
        <v>34</v>
      </c>
      <c r="B23" s="7">
        <f>1540</f>
        <v>1540</v>
      </c>
      <c r="C23" s="6"/>
      <c r="D23" s="7">
        <f>1216</f>
        <v>1216</v>
      </c>
      <c r="E23" s="6"/>
      <c r="F23" s="7">
        <v>0.0</v>
      </c>
      <c r="G23" s="7">
        <f>1760.01</f>
        <v>1760.01</v>
      </c>
      <c r="H23" s="6"/>
      <c r="I23" s="6"/>
      <c r="J23" s="7">
        <f>516</f>
        <v>516</v>
      </c>
      <c r="K23" s="6"/>
      <c r="L23" s="6"/>
      <c r="M23" s="6"/>
      <c r="N23" s="7">
        <f t="shared" si="6"/>
        <v>5032.01</v>
      </c>
      <c r="O23" s="7">
        <f t="shared" si="2"/>
        <v>5489.465455</v>
      </c>
    </row>
    <row r="24" ht="15.75" customHeight="1">
      <c r="A24" s="5" t="s">
        <v>35</v>
      </c>
      <c r="B24" s="6"/>
      <c r="C24" s="6"/>
      <c r="D24" s="6"/>
      <c r="E24" s="7">
        <f>450</f>
        <v>450</v>
      </c>
      <c r="F24" s="6"/>
      <c r="G24" s="6"/>
      <c r="H24" s="6"/>
      <c r="I24" s="6"/>
      <c r="J24" s="6"/>
      <c r="K24" s="6"/>
      <c r="L24" s="6"/>
      <c r="M24" s="6"/>
      <c r="N24" s="7">
        <f t="shared" si="6"/>
        <v>450</v>
      </c>
      <c r="O24" s="7">
        <f t="shared" si="2"/>
        <v>490.9090909</v>
      </c>
    </row>
    <row r="25" ht="15.75" customHeight="1">
      <c r="A25" s="5" t="s">
        <v>36</v>
      </c>
      <c r="B25" s="8">
        <f t="shared" ref="B25:L25" si="8">(B23)+(B24)</f>
        <v>1540</v>
      </c>
      <c r="C25" s="8">
        <f t="shared" si="8"/>
        <v>0</v>
      </c>
      <c r="D25" s="8">
        <f t="shared" si="8"/>
        <v>1216</v>
      </c>
      <c r="E25" s="8">
        <f t="shared" si="8"/>
        <v>450</v>
      </c>
      <c r="F25" s="8">
        <f t="shared" si="8"/>
        <v>0</v>
      </c>
      <c r="G25" s="8">
        <f t="shared" si="8"/>
        <v>1760.01</v>
      </c>
      <c r="H25" s="8">
        <f t="shared" si="8"/>
        <v>0</v>
      </c>
      <c r="I25" s="8">
        <f t="shared" si="8"/>
        <v>0</v>
      </c>
      <c r="J25" s="8">
        <f t="shared" si="8"/>
        <v>516</v>
      </c>
      <c r="K25" s="8">
        <f t="shared" si="8"/>
        <v>0</v>
      </c>
      <c r="L25" s="8">
        <f t="shared" si="8"/>
        <v>0</v>
      </c>
      <c r="M25" s="8"/>
      <c r="N25" s="8">
        <f t="shared" si="6"/>
        <v>5482.01</v>
      </c>
      <c r="O25" s="8">
        <f t="shared" si="2"/>
        <v>5980.374545</v>
      </c>
    </row>
    <row r="26" ht="15.75" customHeight="1">
      <c r="A26" s="5" t="s">
        <v>37</v>
      </c>
      <c r="B26" s="6"/>
      <c r="C26" s="6"/>
      <c r="D26" s="6"/>
      <c r="E26" s="7">
        <f>78.47</f>
        <v>78.47</v>
      </c>
      <c r="F26" s="6"/>
      <c r="G26" s="6"/>
      <c r="H26" s="6"/>
      <c r="I26" s="6"/>
      <c r="J26" s="6"/>
      <c r="K26" s="6"/>
      <c r="L26" s="6"/>
      <c r="M26" s="6"/>
      <c r="N26" s="7">
        <f t="shared" si="6"/>
        <v>78.47</v>
      </c>
      <c r="O26" s="7">
        <f t="shared" si="2"/>
        <v>85.60363636</v>
      </c>
    </row>
    <row r="27" ht="15.75" customHeight="1">
      <c r="A27" s="5" t="s">
        <v>38</v>
      </c>
      <c r="B27" s="6"/>
      <c r="C27" s="6"/>
      <c r="D27" s="6"/>
      <c r="E27" s="6"/>
      <c r="F27" s="6"/>
      <c r="G27" s="6"/>
      <c r="H27" s="6"/>
      <c r="I27" s="6"/>
      <c r="J27" s="7">
        <f>98.9</f>
        <v>98.9</v>
      </c>
      <c r="K27" s="6"/>
      <c r="L27" s="6"/>
      <c r="M27" s="6"/>
      <c r="N27" s="7">
        <f t="shared" si="6"/>
        <v>98.9</v>
      </c>
      <c r="O27" s="7">
        <f t="shared" si="2"/>
        <v>107.8909091</v>
      </c>
    </row>
    <row r="28" ht="15.75" customHeight="1">
      <c r="A28" s="5" t="s">
        <v>39</v>
      </c>
      <c r="B28" s="7">
        <f>2015.73</f>
        <v>2015.73</v>
      </c>
      <c r="C28" s="7">
        <f>1932.05</f>
        <v>1932.05</v>
      </c>
      <c r="D28" s="7">
        <f>2226.48</f>
        <v>2226.48</v>
      </c>
      <c r="E28" s="7">
        <f>2172.13</f>
        <v>2172.13</v>
      </c>
      <c r="F28" s="7">
        <f>2058.16</f>
        <v>2058.16</v>
      </c>
      <c r="G28" s="7">
        <f>2581.42</f>
        <v>2581.42</v>
      </c>
      <c r="H28" s="7">
        <f>2069.63</f>
        <v>2069.63</v>
      </c>
      <c r="I28" s="7">
        <f>2317.62</f>
        <v>2317.62</v>
      </c>
      <c r="J28" s="7">
        <f>1764.3</f>
        <v>1764.3</v>
      </c>
      <c r="K28" s="7">
        <f>2052.4</f>
        <v>2052.4</v>
      </c>
      <c r="L28" s="7">
        <f>1947.36</f>
        <v>1947.36</v>
      </c>
      <c r="M28" s="6"/>
      <c r="N28" s="7">
        <f t="shared" si="6"/>
        <v>23137.28</v>
      </c>
      <c r="O28" s="7">
        <f t="shared" si="2"/>
        <v>25240.66909</v>
      </c>
    </row>
    <row r="29" ht="15.75" customHeight="1">
      <c r="A29" s="5" t="s">
        <v>40</v>
      </c>
      <c r="B29" s="6"/>
      <c r="C29" s="6"/>
      <c r="D29" s="6"/>
      <c r="E29" s="6"/>
      <c r="F29" s="6"/>
      <c r="G29" s="6"/>
      <c r="H29" s="6"/>
      <c r="I29" s="6"/>
      <c r="J29" s="7">
        <f>-42.48</f>
        <v>-42.48</v>
      </c>
      <c r="K29" s="6"/>
      <c r="L29" s="6"/>
      <c r="M29" s="6"/>
      <c r="N29" s="7">
        <f t="shared" si="6"/>
        <v>-42.48</v>
      </c>
      <c r="O29" s="7">
        <f t="shared" si="2"/>
        <v>-46.34181818</v>
      </c>
    </row>
    <row r="30" ht="15.75" customHeight="1">
      <c r="A30" s="5" t="s">
        <v>41</v>
      </c>
      <c r="B30" s="6"/>
      <c r="C30" s="6"/>
      <c r="D30" s="7">
        <f>1490.76</f>
        <v>1490.76</v>
      </c>
      <c r="E30" s="6"/>
      <c r="F30" s="6"/>
      <c r="G30" s="6"/>
      <c r="H30" s="6"/>
      <c r="I30" s="6"/>
      <c r="J30" s="7">
        <f>3132.53</f>
        <v>3132.53</v>
      </c>
      <c r="K30" s="6"/>
      <c r="L30" s="6"/>
      <c r="M30" s="6"/>
      <c r="N30" s="7">
        <f t="shared" si="6"/>
        <v>4623.29</v>
      </c>
      <c r="O30" s="7">
        <f t="shared" si="2"/>
        <v>5043.589091</v>
      </c>
    </row>
    <row r="31" ht="15.75" customHeight="1">
      <c r="A31" s="5" t="s">
        <v>42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>
        <f t="shared" si="6"/>
        <v>0</v>
      </c>
      <c r="O31" s="7">
        <f t="shared" si="2"/>
        <v>0</v>
      </c>
    </row>
    <row r="32" ht="15.75" customHeight="1">
      <c r="A32" s="5" t="s">
        <v>43</v>
      </c>
      <c r="B32" s="7">
        <f>106.59</f>
        <v>106.59</v>
      </c>
      <c r="C32" s="6"/>
      <c r="D32" s="6"/>
      <c r="E32" s="7">
        <f>106.59</f>
        <v>106.59</v>
      </c>
      <c r="F32" s="6"/>
      <c r="G32" s="7">
        <f>342.1</f>
        <v>342.1</v>
      </c>
      <c r="H32" s="7">
        <f t="shared" ref="H32:I32" si="9">161.87</f>
        <v>161.87</v>
      </c>
      <c r="I32" s="7">
        <f t="shared" si="9"/>
        <v>161.87</v>
      </c>
      <c r="J32" s="7">
        <f>168.33</f>
        <v>168.33</v>
      </c>
      <c r="K32" s="6"/>
      <c r="L32" s="6"/>
      <c r="M32" s="6"/>
      <c r="N32" s="7">
        <f t="shared" si="6"/>
        <v>1047.35</v>
      </c>
      <c r="O32" s="7">
        <f t="shared" si="2"/>
        <v>1142.563636</v>
      </c>
    </row>
    <row r="33" ht="15.75" customHeight="1">
      <c r="A33" s="5" t="s">
        <v>44</v>
      </c>
      <c r="B33" s="8">
        <f t="shared" ref="B33:L33" si="10">(B31)+(B32)</f>
        <v>106.59</v>
      </c>
      <c r="C33" s="8">
        <f t="shared" si="10"/>
        <v>0</v>
      </c>
      <c r="D33" s="8">
        <f t="shared" si="10"/>
        <v>0</v>
      </c>
      <c r="E33" s="8">
        <f t="shared" si="10"/>
        <v>106.59</v>
      </c>
      <c r="F33" s="8">
        <f t="shared" si="10"/>
        <v>0</v>
      </c>
      <c r="G33" s="8">
        <f t="shared" si="10"/>
        <v>342.1</v>
      </c>
      <c r="H33" s="8">
        <f t="shared" si="10"/>
        <v>161.87</v>
      </c>
      <c r="I33" s="8">
        <f t="shared" si="10"/>
        <v>161.87</v>
      </c>
      <c r="J33" s="8">
        <f t="shared" si="10"/>
        <v>168.33</v>
      </c>
      <c r="K33" s="8">
        <f t="shared" si="10"/>
        <v>0</v>
      </c>
      <c r="L33" s="8">
        <f t="shared" si="10"/>
        <v>0</v>
      </c>
      <c r="M33" s="8"/>
      <c r="N33" s="8">
        <f t="shared" si="6"/>
        <v>1047.35</v>
      </c>
      <c r="O33" s="8">
        <f t="shared" si="2"/>
        <v>1142.563636</v>
      </c>
    </row>
    <row r="34" ht="15.75" customHeight="1">
      <c r="A34" s="5" t="s">
        <v>45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7">
        <f>2</f>
        <v>2</v>
      </c>
      <c r="M34" s="6"/>
      <c r="N34" s="7">
        <f t="shared" si="6"/>
        <v>2</v>
      </c>
      <c r="O34" s="7">
        <f t="shared" si="2"/>
        <v>2.181818182</v>
      </c>
    </row>
    <row r="35" ht="15.75" customHeight="1">
      <c r="A35" s="5" t="s">
        <v>46</v>
      </c>
      <c r="B35" s="6"/>
      <c r="C35" s="6"/>
      <c r="D35" s="6"/>
      <c r="E35" s="7">
        <f>78.47</f>
        <v>78.47</v>
      </c>
      <c r="F35" s="6"/>
      <c r="G35" s="6"/>
      <c r="H35" s="6"/>
      <c r="I35" s="6"/>
      <c r="J35" s="6"/>
      <c r="K35" s="6"/>
      <c r="L35" s="6"/>
      <c r="M35" s="6"/>
      <c r="N35" s="7">
        <f t="shared" si="6"/>
        <v>78.47</v>
      </c>
      <c r="O35" s="7">
        <f t="shared" si="2"/>
        <v>85.60363636</v>
      </c>
    </row>
    <row r="36" ht="15.75" customHeight="1">
      <c r="A36" s="5" t="s">
        <v>47</v>
      </c>
      <c r="B36" s="6">
        <v>2419.3599999999997</v>
      </c>
      <c r="C36" s="6">
        <v>1535.98</v>
      </c>
      <c r="D36" s="6">
        <v>1103.5</v>
      </c>
      <c r="E36" s="6">
        <v>867.5999999999997</v>
      </c>
      <c r="F36" s="6">
        <v>1844.6999999999998</v>
      </c>
      <c r="G36" s="6">
        <v>4145.07</v>
      </c>
      <c r="H36" s="6">
        <v>10482.900000000001</v>
      </c>
      <c r="I36" s="6">
        <v>3264.050000000001</v>
      </c>
      <c r="J36" s="6">
        <v>-5621.09</v>
      </c>
      <c r="K36" s="6">
        <v>2194.09</v>
      </c>
      <c r="L36" s="6">
        <v>2640.6400000000003</v>
      </c>
      <c r="M36" s="6"/>
      <c r="N36" s="7">
        <f t="shared" si="6"/>
        <v>24876.8</v>
      </c>
      <c r="O36" s="7">
        <f t="shared" si="2"/>
        <v>27138.32727</v>
      </c>
    </row>
    <row r="37" ht="15.75" customHeight="1">
      <c r="A37" s="5" t="s">
        <v>48</v>
      </c>
      <c r="B37" s="6"/>
      <c r="C37" s="7">
        <f>224.94</f>
        <v>224.94</v>
      </c>
      <c r="D37" s="7">
        <f t="shared" ref="D37:H37" si="11">26.1</f>
        <v>26.1</v>
      </c>
      <c r="E37" s="7">
        <f t="shared" si="11"/>
        <v>26.1</v>
      </c>
      <c r="F37" s="7">
        <f t="shared" si="11"/>
        <v>26.1</v>
      </c>
      <c r="G37" s="7">
        <f t="shared" si="11"/>
        <v>26.1</v>
      </c>
      <c r="H37" s="7">
        <f t="shared" si="11"/>
        <v>26.1</v>
      </c>
      <c r="I37" s="7">
        <f>30.75</f>
        <v>30.75</v>
      </c>
      <c r="J37" s="7">
        <f>-43.9</f>
        <v>-43.9</v>
      </c>
      <c r="K37" s="7">
        <f t="shared" ref="K37:L37" si="12">30.75</f>
        <v>30.75</v>
      </c>
      <c r="L37" s="7">
        <f t="shared" si="12"/>
        <v>30.75</v>
      </c>
      <c r="M37" s="6"/>
      <c r="N37" s="7">
        <f t="shared" si="6"/>
        <v>403.79</v>
      </c>
      <c r="O37" s="7">
        <f t="shared" si="2"/>
        <v>440.4981818</v>
      </c>
    </row>
    <row r="38" ht="15.75" customHeight="1">
      <c r="A38" s="5" t="s">
        <v>49</v>
      </c>
      <c r="B38" s="6"/>
      <c r="C38" s="7">
        <f>75</f>
        <v>75</v>
      </c>
      <c r="D38" s="6"/>
      <c r="E38" s="6"/>
      <c r="F38" s="6"/>
      <c r="G38" s="7">
        <f>318.57</f>
        <v>318.57</v>
      </c>
      <c r="H38" s="7">
        <f>230.77</f>
        <v>230.77</v>
      </c>
      <c r="I38" s="7">
        <f>54.06</f>
        <v>54.06</v>
      </c>
      <c r="J38" s="7">
        <f>281.51</f>
        <v>281.51</v>
      </c>
      <c r="K38" s="7">
        <f>77.04</f>
        <v>77.04</v>
      </c>
      <c r="L38" s="7">
        <f>59.21</f>
        <v>59.21</v>
      </c>
      <c r="M38" s="6"/>
      <c r="N38" s="7">
        <f t="shared" si="6"/>
        <v>1096.16</v>
      </c>
      <c r="O38" s="7">
        <f t="shared" si="2"/>
        <v>1195.810909</v>
      </c>
    </row>
    <row r="39" ht="15.75" customHeight="1">
      <c r="A39" s="9" t="s">
        <v>50</v>
      </c>
      <c r="B39" s="10">
        <f t="shared" ref="B39:L39" si="13">9490.54/12</f>
        <v>790.8783333</v>
      </c>
      <c r="C39" s="10">
        <f t="shared" si="13"/>
        <v>790.8783333</v>
      </c>
      <c r="D39" s="10">
        <f t="shared" si="13"/>
        <v>790.8783333</v>
      </c>
      <c r="E39" s="10">
        <f t="shared" si="13"/>
        <v>790.8783333</v>
      </c>
      <c r="F39" s="10">
        <f t="shared" si="13"/>
        <v>790.8783333</v>
      </c>
      <c r="G39" s="10">
        <f t="shared" si="13"/>
        <v>790.8783333</v>
      </c>
      <c r="H39" s="10">
        <f t="shared" si="13"/>
        <v>790.8783333</v>
      </c>
      <c r="I39" s="10">
        <f t="shared" si="13"/>
        <v>790.8783333</v>
      </c>
      <c r="J39" s="10">
        <f t="shared" si="13"/>
        <v>790.8783333</v>
      </c>
      <c r="K39" s="10">
        <f t="shared" si="13"/>
        <v>790.8783333</v>
      </c>
      <c r="L39" s="10">
        <f t="shared" si="13"/>
        <v>790.8783333</v>
      </c>
      <c r="M39" s="10"/>
      <c r="N39" s="11">
        <f t="shared" ref="N39:N40" si="15">sum(B39:L39)</f>
        <v>8699.661667</v>
      </c>
      <c r="O39" s="11">
        <f t="shared" ref="O39:O40" si="16">N39*12/11</f>
        <v>9490.54</v>
      </c>
    </row>
    <row r="40" ht="15.75" customHeight="1">
      <c r="A40" s="9" t="s">
        <v>51</v>
      </c>
      <c r="B40" s="10">
        <f t="shared" ref="B40:L40" si="14">14777/12</f>
        <v>1231.416667</v>
      </c>
      <c r="C40" s="10">
        <f t="shared" si="14"/>
        <v>1231.416667</v>
      </c>
      <c r="D40" s="10">
        <f t="shared" si="14"/>
        <v>1231.416667</v>
      </c>
      <c r="E40" s="10">
        <f t="shared" si="14"/>
        <v>1231.416667</v>
      </c>
      <c r="F40" s="10">
        <f t="shared" si="14"/>
        <v>1231.416667</v>
      </c>
      <c r="G40" s="10">
        <f t="shared" si="14"/>
        <v>1231.416667</v>
      </c>
      <c r="H40" s="10">
        <f t="shared" si="14"/>
        <v>1231.416667</v>
      </c>
      <c r="I40" s="10">
        <f t="shared" si="14"/>
        <v>1231.416667</v>
      </c>
      <c r="J40" s="10">
        <f t="shared" si="14"/>
        <v>1231.416667</v>
      </c>
      <c r="K40" s="10">
        <f t="shared" si="14"/>
        <v>1231.416667</v>
      </c>
      <c r="L40" s="10">
        <f t="shared" si="14"/>
        <v>1231.416667</v>
      </c>
      <c r="M40" s="10"/>
      <c r="N40" s="11">
        <f t="shared" si="15"/>
        <v>13545.58333</v>
      </c>
      <c r="O40" s="11">
        <f t="shared" si="16"/>
        <v>14777</v>
      </c>
    </row>
    <row r="41" ht="15.75" customHeight="1">
      <c r="A41" s="5" t="s">
        <v>52</v>
      </c>
      <c r="B41" s="8">
        <f t="shared" ref="B41:L41" si="17">((((((((((((((((((+(B17))+(B18))+(B19))+(B22))+(B25))+(B26))+(B27))+(B28))+(B29))+(B30))+(B33))+(B34))+(B35)))+(B37))+(B38)+B36)))+B40+B39</f>
        <v>8103.975</v>
      </c>
      <c r="C41" s="8">
        <f t="shared" si="17"/>
        <v>5790.265</v>
      </c>
      <c r="D41" s="8">
        <f t="shared" si="17"/>
        <v>8085.135</v>
      </c>
      <c r="E41" s="8">
        <f t="shared" si="17"/>
        <v>6620.055</v>
      </c>
      <c r="F41" s="8">
        <f t="shared" si="17"/>
        <v>5951.255</v>
      </c>
      <c r="G41" s="8">
        <f t="shared" si="17"/>
        <v>11195.565</v>
      </c>
      <c r="H41" s="8">
        <f t="shared" si="17"/>
        <v>14993.565</v>
      </c>
      <c r="I41" s="8">
        <f t="shared" si="17"/>
        <v>7950.645</v>
      </c>
      <c r="J41" s="8">
        <f t="shared" si="17"/>
        <v>2276.395</v>
      </c>
      <c r="K41" s="8">
        <f t="shared" si="17"/>
        <v>6376.575</v>
      </c>
      <c r="L41" s="8">
        <f t="shared" si="17"/>
        <v>6253.235</v>
      </c>
      <c r="M41" s="8"/>
      <c r="N41" s="8">
        <f t="shared" ref="N41:N42" si="19">(((((((((((B41)+(C41))+(D41))+(E41))+(F41))+(G41))+(H41))+(I41))+(J41))+(K41))+(L41))+(M41)</f>
        <v>83596.665</v>
      </c>
      <c r="O41" s="8">
        <f t="shared" ref="O41:O42" si="20">N41*12/11</f>
        <v>91196.36182</v>
      </c>
    </row>
    <row r="42" ht="15.75" customHeight="1">
      <c r="A42" s="5" t="s">
        <v>53</v>
      </c>
      <c r="B42" s="8">
        <f t="shared" ref="B42:L42" si="18">(B15)-(B41)</f>
        <v>12493.725</v>
      </c>
      <c r="C42" s="8">
        <f t="shared" si="18"/>
        <v>17067.615</v>
      </c>
      <c r="D42" s="8">
        <f t="shared" si="18"/>
        <v>21990.015</v>
      </c>
      <c r="E42" s="8">
        <f t="shared" si="18"/>
        <v>13674.245</v>
      </c>
      <c r="F42" s="8">
        <f t="shared" si="18"/>
        <v>20362.035</v>
      </c>
      <c r="G42" s="8">
        <f t="shared" si="18"/>
        <v>11597.965</v>
      </c>
      <c r="H42" s="8">
        <f t="shared" si="18"/>
        <v>14401.365</v>
      </c>
      <c r="I42" s="8">
        <f t="shared" si="18"/>
        <v>17744.145</v>
      </c>
      <c r="J42" s="8">
        <f t="shared" si="18"/>
        <v>23738.115</v>
      </c>
      <c r="K42" s="8">
        <f t="shared" si="18"/>
        <v>15655.255</v>
      </c>
      <c r="L42" s="8">
        <f t="shared" si="18"/>
        <v>18807.385</v>
      </c>
      <c r="M42" s="8"/>
      <c r="N42" s="8">
        <f t="shared" si="19"/>
        <v>187531.865</v>
      </c>
      <c r="O42" s="8">
        <f t="shared" si="20"/>
        <v>204580.2164</v>
      </c>
      <c r="P42" s="12"/>
    </row>
    <row r="43" ht="15.75" customHeight="1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ht="15.75" hidden="1" customHeight="1" outlineLevel="1">
      <c r="B44" s="13" t="str">
        <f t="shared" ref="B44:L44" si="21">B5</f>
        <v>Jan 2023</v>
      </c>
      <c r="C44" s="13" t="str">
        <f t="shared" si="21"/>
        <v>Feb 2023</v>
      </c>
      <c r="D44" s="13" t="str">
        <f t="shared" si="21"/>
        <v>Mar 2023</v>
      </c>
      <c r="E44" s="13" t="str">
        <f t="shared" si="21"/>
        <v>Apr 2023</v>
      </c>
      <c r="F44" s="13" t="str">
        <f t="shared" si="21"/>
        <v>May 2023</v>
      </c>
      <c r="G44" s="13" t="str">
        <f t="shared" si="21"/>
        <v>Jun 2023</v>
      </c>
      <c r="H44" s="13" t="str">
        <f t="shared" si="21"/>
        <v>Jul 2023</v>
      </c>
      <c r="I44" s="13" t="str">
        <f t="shared" si="21"/>
        <v>Aug 2023</v>
      </c>
      <c r="J44" s="13" t="str">
        <f t="shared" si="21"/>
        <v>Sep 2023</v>
      </c>
      <c r="K44" s="13" t="str">
        <f t="shared" si="21"/>
        <v>Oct 2023</v>
      </c>
      <c r="L44" s="13" t="str">
        <f t="shared" si="21"/>
        <v>Nov 2023</v>
      </c>
    </row>
    <row r="45" ht="15.75" hidden="1" customHeight="1" outlineLevel="1">
      <c r="A45" s="14" t="s">
        <v>54</v>
      </c>
      <c r="B45" s="15">
        <f t="shared" ref="B45:L45" si="22">SUM(B46:B56)</f>
        <v>1403.53</v>
      </c>
      <c r="C45" s="15">
        <f t="shared" si="22"/>
        <v>524.76</v>
      </c>
      <c r="D45" s="15">
        <f t="shared" si="22"/>
        <v>756.27</v>
      </c>
      <c r="E45" s="15">
        <f t="shared" si="22"/>
        <v>3059.39</v>
      </c>
      <c r="F45" s="15">
        <f t="shared" si="22"/>
        <v>27885.72</v>
      </c>
      <c r="G45" s="15">
        <f t="shared" si="22"/>
        <v>11232.86</v>
      </c>
      <c r="H45" s="15">
        <f t="shared" si="22"/>
        <v>4814.14</v>
      </c>
      <c r="I45" s="15">
        <f t="shared" si="22"/>
        <v>7180.56</v>
      </c>
      <c r="J45" s="15">
        <f t="shared" si="22"/>
        <v>0</v>
      </c>
      <c r="K45" s="15">
        <f t="shared" si="22"/>
        <v>2547.18</v>
      </c>
      <c r="L45" s="15">
        <f t="shared" si="22"/>
        <v>0</v>
      </c>
    </row>
    <row r="46" ht="15.75" hidden="1" customHeight="1" outlineLevel="1">
      <c r="A46" s="13" t="s">
        <v>55</v>
      </c>
      <c r="B46" s="12">
        <v>1403.53</v>
      </c>
      <c r="I46" s="12">
        <v>1526.98</v>
      </c>
    </row>
    <row r="47" ht="15.75" hidden="1" customHeight="1" outlineLevel="1">
      <c r="A47" s="13" t="s">
        <v>56</v>
      </c>
      <c r="C47" s="13">
        <v>524.76</v>
      </c>
      <c r="D47" s="13">
        <v>756.27</v>
      </c>
      <c r="F47" s="12">
        <v>1375.0</v>
      </c>
      <c r="H47" s="12">
        <f>715.41+395.06+169.58</f>
        <v>1280.05</v>
      </c>
      <c r="I47" s="12">
        <f>762.05+762.05+188.13</f>
        <v>1712.23</v>
      </c>
    </row>
    <row r="48" ht="15.75" hidden="1" customHeight="1" outlineLevel="1">
      <c r="A48" s="13" t="s">
        <v>57</v>
      </c>
      <c r="E48" s="12">
        <v>842.26</v>
      </c>
      <c r="K48" s="12">
        <f>2547.18</f>
        <v>2547.18</v>
      </c>
    </row>
    <row r="49" ht="15.75" hidden="1" customHeight="1" outlineLevel="1">
      <c r="A49" s="13" t="s">
        <v>58</v>
      </c>
      <c r="E49" s="12">
        <v>2217.13</v>
      </c>
      <c r="G49" s="12">
        <v>1193.67</v>
      </c>
      <c r="H49" s="12">
        <f>3534.09</f>
        <v>3534.09</v>
      </c>
    </row>
    <row r="50" ht="15.75" hidden="1" customHeight="1" outlineLevel="1">
      <c r="A50" s="13" t="s">
        <v>59</v>
      </c>
      <c r="E50" s="12"/>
      <c r="F50" s="12">
        <f>699+225</f>
        <v>924</v>
      </c>
      <c r="G50" s="12">
        <f>343.17+175.89</f>
        <v>519.06</v>
      </c>
    </row>
    <row r="51" ht="15.75" hidden="1" customHeight="1" outlineLevel="1">
      <c r="A51" s="13" t="s">
        <v>60</v>
      </c>
      <c r="E51" s="12"/>
      <c r="F51" s="12">
        <f>2456.38+385.7</f>
        <v>2842.08</v>
      </c>
      <c r="G51" s="12">
        <v>8300.0</v>
      </c>
      <c r="H51" s="12"/>
      <c r="I51" s="12">
        <v>2750.0</v>
      </c>
    </row>
    <row r="52" ht="15.75" hidden="1" customHeight="1" outlineLevel="1">
      <c r="A52" s="13" t="s">
        <v>61</v>
      </c>
      <c r="E52" s="12"/>
      <c r="F52" s="12"/>
      <c r="G52" s="12">
        <v>1220.13</v>
      </c>
      <c r="H52" s="12"/>
    </row>
    <row r="53" ht="15.75" hidden="1" customHeight="1" outlineLevel="1">
      <c r="A53" s="13" t="s">
        <v>62</v>
      </c>
      <c r="E53" s="12"/>
      <c r="F53" s="12">
        <v>395.0</v>
      </c>
    </row>
    <row r="54" ht="15.75" hidden="1" customHeight="1" outlineLevel="1">
      <c r="A54" s="13" t="s">
        <v>63</v>
      </c>
      <c r="E54" s="12"/>
      <c r="F54" s="12"/>
      <c r="G54" s="12"/>
    </row>
    <row r="55" ht="15.75" hidden="1" customHeight="1" outlineLevel="1">
      <c r="A55" s="13" t="s">
        <v>64</v>
      </c>
      <c r="F55" s="12">
        <v>22349.64</v>
      </c>
    </row>
    <row r="56" ht="15.75" hidden="1" customHeight="1" outlineLevel="1">
      <c r="A56" s="13" t="s">
        <v>65</v>
      </c>
      <c r="F56" s="12"/>
      <c r="I56" s="12">
        <v>1191.35</v>
      </c>
    </row>
    <row r="57" ht="15.75" hidden="1" customHeight="1" outlineLevel="1">
      <c r="A57" s="13" t="s">
        <v>66</v>
      </c>
      <c r="F57" s="12">
        <v>3690.0</v>
      </c>
    </row>
    <row r="58" ht="15.75" customHeight="1" collapsed="1">
      <c r="A58" s="14"/>
      <c r="O58" s="16"/>
    </row>
    <row r="59" ht="15.75" customHeight="1">
      <c r="F59" s="12"/>
    </row>
    <row r="60" ht="15.75" customHeight="1">
      <c r="A60" s="13"/>
      <c r="F60" s="12"/>
    </row>
    <row r="61" ht="15.75" customHeight="1">
      <c r="A61" s="13"/>
      <c r="F61" s="12"/>
    </row>
    <row r="62" ht="15.75" customHeight="1">
      <c r="A62" s="17" t="s">
        <v>67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">
    <mergeCell ref="A1:N1"/>
    <mergeCell ref="A2:N2"/>
    <mergeCell ref="A3:N3"/>
    <mergeCell ref="A62:N6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2024-01-22T17:50:48Z</dcterms:created>
  <dc:creator>Josh Galen</dc:creator>
</cp:coreProperties>
</file>